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amlet\UserShares\TSY\data\DewesC\desktop\PDF upload to pre-live\"/>
    </mc:Choice>
  </mc:AlternateContent>
  <bookViews>
    <workbookView xWindow="0" yWindow="0" windowWidth="18870" windowHeight="7665" tabRatio="771" firstSheet="1" activeTab="8"/>
  </bookViews>
  <sheets>
    <sheet name="Offset" sheetId="444" state="hidden" r:id="rId1"/>
    <sheet name="Describe" sheetId="402" r:id="rId2"/>
    <sheet name="Popn" sheetId="406" r:id="rId3"/>
    <sheet name="Labour Force" sheetId="436" r:id="rId4"/>
    <sheet name="Tracks" sheetId="431" r:id="rId5"/>
    <sheet name="Forecast Adjuster" sheetId="440" r:id="rId6"/>
    <sheet name="Scenarios" sheetId="434" r:id="rId7"/>
    <sheet name="Data" sheetId="432" r:id="rId8"/>
    <sheet name="Budget 2013" sheetId="455" r:id="rId9"/>
    <sheet name="Option" sheetId="457" r:id="rId10"/>
  </sheets>
  <calcPr calcId="162913"/>
</workbook>
</file>

<file path=xl/calcChain.xml><?xml version="1.0" encoding="utf-8"?>
<calcChain xmlns="http://schemas.openxmlformats.org/spreadsheetml/2006/main">
  <c r="BJ17" i="431" l="1"/>
  <c r="K335" i="457"/>
  <c r="L335" i="457"/>
  <c r="M335" i="457"/>
  <c r="N335" i="457"/>
  <c r="J335" i="457"/>
  <c r="K76" i="457"/>
  <c r="L76" i="457"/>
  <c r="M76" i="457"/>
  <c r="N76" i="457"/>
  <c r="K77" i="457"/>
  <c r="L77" i="457"/>
  <c r="M77" i="457"/>
  <c r="N77" i="457"/>
  <c r="J76" i="457"/>
  <c r="J77" i="457"/>
  <c r="D211" i="455"/>
  <c r="E211" i="455"/>
  <c r="F211" i="455"/>
  <c r="G211" i="455"/>
  <c r="H211" i="455"/>
  <c r="I211" i="455"/>
  <c r="J211" i="455"/>
  <c r="K211" i="455"/>
  <c r="L211" i="455"/>
  <c r="M211" i="455"/>
  <c r="N211" i="455"/>
  <c r="K211" i="457"/>
  <c r="L211" i="457"/>
  <c r="M211" i="457"/>
  <c r="N211" i="457"/>
  <c r="J211" i="457"/>
  <c r="E211" i="457"/>
  <c r="F211" i="457"/>
  <c r="G211" i="457"/>
  <c r="H211" i="457"/>
  <c r="I211" i="457"/>
  <c r="D211" i="457"/>
  <c r="K209" i="457"/>
  <c r="L209" i="457"/>
  <c r="L210" i="457" s="1"/>
  <c r="M209" i="457"/>
  <c r="N209" i="457"/>
  <c r="J209" i="457"/>
  <c r="E209" i="457"/>
  <c r="E210" i="457" s="1"/>
  <c r="F209" i="457"/>
  <c r="G209" i="457"/>
  <c r="H209" i="457"/>
  <c r="I209" i="457"/>
  <c r="I210" i="457" s="1"/>
  <c r="D209" i="457"/>
  <c r="K209" i="455"/>
  <c r="L209" i="455"/>
  <c r="M209" i="455"/>
  <c r="M210" i="455" s="1"/>
  <c r="N209" i="455"/>
  <c r="J209" i="455"/>
  <c r="E209" i="455"/>
  <c r="F209" i="455"/>
  <c r="F210" i="455" s="1"/>
  <c r="G209" i="455"/>
  <c r="H209" i="455"/>
  <c r="I209" i="455"/>
  <c r="D209" i="455"/>
  <c r="D210" i="455" s="1"/>
  <c r="K204" i="455"/>
  <c r="L204" i="455"/>
  <c r="M204" i="455"/>
  <c r="N204" i="455"/>
  <c r="J204" i="455"/>
  <c r="K178" i="455"/>
  <c r="L178" i="455"/>
  <c r="M178" i="455"/>
  <c r="N178" i="455"/>
  <c r="K179" i="455"/>
  <c r="L179" i="455"/>
  <c r="M179" i="455"/>
  <c r="N179" i="455"/>
  <c r="J179" i="455"/>
  <c r="J178" i="455"/>
  <c r="P170" i="455"/>
  <c r="Q170" i="455"/>
  <c r="R170" i="455"/>
  <c r="S170" i="455" s="1"/>
  <c r="T170" i="455" s="1"/>
  <c r="U170" i="455" s="1"/>
  <c r="V170" i="455" s="1"/>
  <c r="W170" i="455" s="1"/>
  <c r="X170" i="455" s="1"/>
  <c r="O170" i="455"/>
  <c r="K170" i="455"/>
  <c r="L170" i="455"/>
  <c r="M170" i="455"/>
  <c r="N170" i="455"/>
  <c r="K171" i="455"/>
  <c r="L171" i="455"/>
  <c r="M171" i="455"/>
  <c r="N171" i="455"/>
  <c r="O171" i="455"/>
  <c r="P171" i="455" s="1"/>
  <c r="Q171" i="455" s="1"/>
  <c r="R171" i="455" s="1"/>
  <c r="S171" i="455" s="1"/>
  <c r="T171" i="455" s="1"/>
  <c r="U171" i="455"/>
  <c r="V171" i="455" s="1"/>
  <c r="W171" i="455" s="1"/>
  <c r="X171" i="455" s="1"/>
  <c r="K172" i="455"/>
  <c r="L172" i="455"/>
  <c r="M172" i="455"/>
  <c r="N172" i="455"/>
  <c r="O172" i="455"/>
  <c r="P172" i="455" s="1"/>
  <c r="Q172" i="455" s="1"/>
  <c r="R172" i="455" s="1"/>
  <c r="S172" i="455" s="1"/>
  <c r="T172" i="455" s="1"/>
  <c r="U172" i="455" s="1"/>
  <c r="V172" i="455" s="1"/>
  <c r="W172" i="455" s="1"/>
  <c r="X172" i="455" s="1"/>
  <c r="K173" i="455"/>
  <c r="L173" i="455"/>
  <c r="M173" i="455"/>
  <c r="N173" i="455"/>
  <c r="O173" i="455"/>
  <c r="P173" i="455" s="1"/>
  <c r="Q173" i="455" s="1"/>
  <c r="R173" i="455" s="1"/>
  <c r="S173" i="455" s="1"/>
  <c r="T173" i="455" s="1"/>
  <c r="U173" i="455" s="1"/>
  <c r="V173" i="455" s="1"/>
  <c r="W173" i="455" s="1"/>
  <c r="X173" i="455" s="1"/>
  <c r="K174" i="455"/>
  <c r="L174" i="455"/>
  <c r="M174" i="455"/>
  <c r="N174" i="455"/>
  <c r="O174" i="455"/>
  <c r="P174" i="455" s="1"/>
  <c r="Q174" i="455" s="1"/>
  <c r="R174" i="455" s="1"/>
  <c r="S174" i="455"/>
  <c r="T174" i="455" s="1"/>
  <c r="U174" i="455" s="1"/>
  <c r="V174" i="455" s="1"/>
  <c r="W174" i="455" s="1"/>
  <c r="X174" i="455" s="1"/>
  <c r="K175" i="455"/>
  <c r="L175" i="455"/>
  <c r="M175" i="455"/>
  <c r="N175" i="455"/>
  <c r="O175" i="455"/>
  <c r="P175" i="455" s="1"/>
  <c r="Q175" i="455" s="1"/>
  <c r="R175" i="455" s="1"/>
  <c r="S175" i="455" s="1"/>
  <c r="T175" i="455" s="1"/>
  <c r="U175" i="455"/>
  <c r="V175" i="455" s="1"/>
  <c r="W175" i="455" s="1"/>
  <c r="X175" i="455" s="1"/>
  <c r="J175" i="455"/>
  <c r="J174" i="455"/>
  <c r="J173" i="455"/>
  <c r="J172" i="455"/>
  <c r="J171" i="455"/>
  <c r="J170" i="455"/>
  <c r="K164" i="455"/>
  <c r="L164" i="455"/>
  <c r="M164" i="455"/>
  <c r="N164" i="455"/>
  <c r="J164" i="455"/>
  <c r="K161" i="455"/>
  <c r="K160" i="455"/>
  <c r="L161" i="455"/>
  <c r="M161" i="455"/>
  <c r="M160" i="455" s="1"/>
  <c r="N161" i="455"/>
  <c r="J161" i="455"/>
  <c r="J160" i="455" s="1"/>
  <c r="L160" i="455"/>
  <c r="L159" i="455"/>
  <c r="L158" i="455"/>
  <c r="K157" i="455"/>
  <c r="L157" i="455"/>
  <c r="K148" i="455"/>
  <c r="L148" i="455"/>
  <c r="M148" i="455"/>
  <c r="N148" i="455"/>
  <c r="J148" i="455"/>
  <c r="K144" i="455"/>
  <c r="L144" i="455"/>
  <c r="M144" i="455"/>
  <c r="N144" i="455"/>
  <c r="J144" i="455"/>
  <c r="K142" i="455"/>
  <c r="L142" i="455"/>
  <c r="M142" i="455"/>
  <c r="N142" i="455"/>
  <c r="J142" i="455"/>
  <c r="K120" i="455"/>
  <c r="L120" i="455"/>
  <c r="M120" i="455"/>
  <c r="N120" i="455"/>
  <c r="J120" i="455"/>
  <c r="K116" i="455"/>
  <c r="L116" i="455"/>
  <c r="M116" i="455"/>
  <c r="N116" i="455"/>
  <c r="K117" i="455"/>
  <c r="L117" i="455"/>
  <c r="M117" i="455"/>
  <c r="N117" i="455"/>
  <c r="K109" i="455"/>
  <c r="L109" i="455"/>
  <c r="M109" i="455"/>
  <c r="N109" i="455"/>
  <c r="J109" i="455"/>
  <c r="K95" i="455"/>
  <c r="L95" i="455"/>
  <c r="M95" i="455"/>
  <c r="N95" i="455"/>
  <c r="J95" i="455"/>
  <c r="K94" i="455"/>
  <c r="L94" i="455"/>
  <c r="M94" i="455"/>
  <c r="N94" i="455"/>
  <c r="J94" i="455"/>
  <c r="K93" i="455"/>
  <c r="L93" i="455"/>
  <c r="M93" i="455"/>
  <c r="N93" i="455"/>
  <c r="J93" i="455"/>
  <c r="K92" i="455"/>
  <c r="L92" i="455"/>
  <c r="M92" i="455"/>
  <c r="N92" i="455"/>
  <c r="J92" i="455"/>
  <c r="K91" i="455"/>
  <c r="L91" i="455"/>
  <c r="M91" i="455"/>
  <c r="N91" i="455"/>
  <c r="J91" i="455"/>
  <c r="K84" i="455"/>
  <c r="L84" i="455"/>
  <c r="M84" i="455"/>
  <c r="N84" i="455"/>
  <c r="K85" i="455"/>
  <c r="L85" i="455"/>
  <c r="M85" i="455"/>
  <c r="N85" i="455"/>
  <c r="J85" i="455"/>
  <c r="J84" i="455"/>
  <c r="K82" i="455"/>
  <c r="L82" i="455"/>
  <c r="M82" i="455"/>
  <c r="N82" i="455"/>
  <c r="K83" i="455"/>
  <c r="L83" i="455"/>
  <c r="M83" i="455"/>
  <c r="N83" i="455"/>
  <c r="J83" i="455"/>
  <c r="J82" i="455"/>
  <c r="K75" i="455"/>
  <c r="L75" i="455"/>
  <c r="M75" i="455"/>
  <c r="N75" i="455"/>
  <c r="K76" i="455"/>
  <c r="L76" i="455"/>
  <c r="M76" i="455"/>
  <c r="N76" i="455"/>
  <c r="K77" i="455"/>
  <c r="L77" i="455"/>
  <c r="M77" i="455"/>
  <c r="N77" i="455"/>
  <c r="K78" i="455"/>
  <c r="L78" i="455"/>
  <c r="M78" i="455"/>
  <c r="N78" i="455"/>
  <c r="K79" i="455"/>
  <c r="L79" i="455"/>
  <c r="M79" i="455"/>
  <c r="N79" i="455"/>
  <c r="K80" i="455"/>
  <c r="L80" i="455"/>
  <c r="M80" i="455"/>
  <c r="N80" i="455"/>
  <c r="K81" i="455"/>
  <c r="L81" i="455"/>
  <c r="M81" i="455"/>
  <c r="N81" i="455"/>
  <c r="J80" i="455"/>
  <c r="J79" i="455"/>
  <c r="J78" i="455"/>
  <c r="J77" i="455"/>
  <c r="J76" i="455"/>
  <c r="J75" i="455"/>
  <c r="K70" i="455"/>
  <c r="L70" i="455"/>
  <c r="M70" i="455"/>
  <c r="N70" i="455"/>
  <c r="J70" i="455"/>
  <c r="K69" i="455"/>
  <c r="L69" i="455"/>
  <c r="M69" i="455"/>
  <c r="N69" i="455"/>
  <c r="J69" i="455"/>
  <c r="K62" i="455"/>
  <c r="J62" i="455"/>
  <c r="K56" i="455"/>
  <c r="L56" i="455"/>
  <c r="M56" i="455"/>
  <c r="N56" i="455"/>
  <c r="J56" i="455"/>
  <c r="K49" i="455"/>
  <c r="L49" i="455"/>
  <c r="M49" i="455"/>
  <c r="N49" i="455"/>
  <c r="K50" i="455"/>
  <c r="L50" i="455"/>
  <c r="M50" i="455"/>
  <c r="N50" i="455"/>
  <c r="K51" i="455"/>
  <c r="L51" i="455"/>
  <c r="M51" i="455"/>
  <c r="N51" i="455"/>
  <c r="K52" i="455"/>
  <c r="L52" i="455"/>
  <c r="M52" i="455"/>
  <c r="N52" i="455"/>
  <c r="K53" i="455"/>
  <c r="L53" i="455"/>
  <c r="M53" i="455"/>
  <c r="N53" i="455"/>
  <c r="J53" i="455"/>
  <c r="J52" i="455"/>
  <c r="J51" i="455"/>
  <c r="J50" i="455"/>
  <c r="J49" i="455"/>
  <c r="K258" i="455"/>
  <c r="L258" i="455"/>
  <c r="M258" i="455"/>
  <c r="N258" i="455"/>
  <c r="K259" i="455"/>
  <c r="L259" i="455"/>
  <c r="M259" i="455"/>
  <c r="N259" i="455"/>
  <c r="J259" i="455"/>
  <c r="J258" i="455"/>
  <c r="K257" i="455"/>
  <c r="L257" i="455"/>
  <c r="M257" i="455"/>
  <c r="N257" i="455"/>
  <c r="J257" i="455"/>
  <c r="K254" i="455"/>
  <c r="L254" i="455"/>
  <c r="M254" i="455"/>
  <c r="N254" i="455"/>
  <c r="J254" i="455"/>
  <c r="K251" i="455"/>
  <c r="L251" i="455"/>
  <c r="M251" i="455"/>
  <c r="N251" i="455"/>
  <c r="J251" i="455"/>
  <c r="K249" i="455"/>
  <c r="L249" i="455"/>
  <c r="M249" i="455"/>
  <c r="N249" i="455"/>
  <c r="J249" i="455"/>
  <c r="K248" i="455"/>
  <c r="L248" i="455"/>
  <c r="M248" i="455"/>
  <c r="N248" i="455"/>
  <c r="J248" i="455"/>
  <c r="K246" i="455"/>
  <c r="L246" i="455"/>
  <c r="M246" i="455"/>
  <c r="N246" i="455"/>
  <c r="J246" i="455"/>
  <c r="K244" i="455"/>
  <c r="L244" i="455"/>
  <c r="M244" i="455"/>
  <c r="N244" i="455"/>
  <c r="J244" i="455"/>
  <c r="K242" i="455"/>
  <c r="L242" i="455"/>
  <c r="M242" i="455"/>
  <c r="N242" i="455"/>
  <c r="J242" i="455"/>
  <c r="K234" i="455"/>
  <c r="K224" i="455" s="1"/>
  <c r="L234" i="455"/>
  <c r="L224" i="455"/>
  <c r="M234" i="455"/>
  <c r="M224" i="455" s="1"/>
  <c r="N234" i="455"/>
  <c r="N224" i="455"/>
  <c r="J234" i="455"/>
  <c r="J224" i="455" s="1"/>
  <c r="K232" i="455"/>
  <c r="L232" i="455"/>
  <c r="M232" i="455"/>
  <c r="N232" i="455"/>
  <c r="J232" i="455"/>
  <c r="N358" i="457"/>
  <c r="M358" i="457"/>
  <c r="L358" i="457"/>
  <c r="L360" i="457" s="1"/>
  <c r="L351" i="457" s="1"/>
  <c r="K358" i="457"/>
  <c r="J358" i="457"/>
  <c r="N357" i="457"/>
  <c r="M357" i="457"/>
  <c r="L357" i="457"/>
  <c r="K357" i="457"/>
  <c r="J357" i="457"/>
  <c r="N356" i="457"/>
  <c r="N175" i="457"/>
  <c r="O175" i="457" s="1"/>
  <c r="P175" i="457"/>
  <c r="Q175" i="457" s="1"/>
  <c r="R175" i="457" s="1"/>
  <c r="S175" i="457" s="1"/>
  <c r="T175" i="457" s="1"/>
  <c r="U175" i="457" s="1"/>
  <c r="V175" i="457" s="1"/>
  <c r="W175" i="457" s="1"/>
  <c r="X175" i="457" s="1"/>
  <c r="M356" i="457"/>
  <c r="L356" i="457"/>
  <c r="L175" i="457"/>
  <c r="K356" i="457"/>
  <c r="K175" i="457"/>
  <c r="J356" i="457"/>
  <c r="J175" i="457"/>
  <c r="N355" i="457"/>
  <c r="N170" i="457"/>
  <c r="M355" i="457"/>
  <c r="L355" i="457"/>
  <c r="L170" i="457"/>
  <c r="K355" i="457"/>
  <c r="J355" i="457"/>
  <c r="J170" i="457"/>
  <c r="N350" i="457"/>
  <c r="N173" i="457"/>
  <c r="O173" i="457"/>
  <c r="P173" i="457" s="1"/>
  <c r="Q173" i="457" s="1"/>
  <c r="R173" i="457" s="1"/>
  <c r="S173" i="457" s="1"/>
  <c r="T173" i="457" s="1"/>
  <c r="U173" i="457" s="1"/>
  <c r="V173" i="457" s="1"/>
  <c r="W173" i="457" s="1"/>
  <c r="X173" i="457" s="1"/>
  <c r="M350" i="457"/>
  <c r="M173" i="457"/>
  <c r="L350" i="457"/>
  <c r="L173" i="457"/>
  <c r="K350" i="457"/>
  <c r="J350" i="457"/>
  <c r="J173" i="457"/>
  <c r="N349" i="457"/>
  <c r="N172" i="457"/>
  <c r="O172" i="457" s="1"/>
  <c r="P172" i="457" s="1"/>
  <c r="Q172" i="457" s="1"/>
  <c r="R172" i="457"/>
  <c r="M349" i="457"/>
  <c r="M172" i="457"/>
  <c r="L349" i="457"/>
  <c r="L23" i="457"/>
  <c r="K349" i="457"/>
  <c r="K172" i="457"/>
  <c r="J349" i="457"/>
  <c r="J172" i="457"/>
  <c r="N348" i="457"/>
  <c r="N171" i="457"/>
  <c r="M348" i="457"/>
  <c r="L348" i="457"/>
  <c r="L171" i="457"/>
  <c r="L65" i="457"/>
  <c r="K348" i="457"/>
  <c r="K171" i="457"/>
  <c r="K65" i="457" s="1"/>
  <c r="J348" i="457"/>
  <c r="J171" i="457"/>
  <c r="J65" i="457"/>
  <c r="N347" i="457"/>
  <c r="M347" i="457"/>
  <c r="M174" i="457"/>
  <c r="L347" i="457"/>
  <c r="L174" i="457"/>
  <c r="K347" i="457"/>
  <c r="K174" i="457"/>
  <c r="J347" i="457"/>
  <c r="N336" i="457"/>
  <c r="M336" i="457"/>
  <c r="L336" i="457"/>
  <c r="K336" i="457"/>
  <c r="J336" i="457"/>
  <c r="N334" i="457"/>
  <c r="M334" i="457"/>
  <c r="L334" i="457"/>
  <c r="K334" i="457"/>
  <c r="J334" i="457"/>
  <c r="N329" i="457"/>
  <c r="M329" i="457"/>
  <c r="L329" i="457"/>
  <c r="K329" i="457"/>
  <c r="J329" i="457"/>
  <c r="J326" i="457"/>
  <c r="K326" i="457"/>
  <c r="L326" i="457"/>
  <c r="M326" i="457"/>
  <c r="N326" i="457"/>
  <c r="J325" i="457"/>
  <c r="K325" i="457"/>
  <c r="J324" i="457"/>
  <c r="J323" i="457"/>
  <c r="K323" i="457"/>
  <c r="J322" i="457"/>
  <c r="K322" i="457"/>
  <c r="K328" i="457" s="1"/>
  <c r="J317" i="457"/>
  <c r="K317" i="457"/>
  <c r="N316" i="457"/>
  <c r="M316" i="457"/>
  <c r="L316" i="457"/>
  <c r="K316" i="457"/>
  <c r="J316" i="457"/>
  <c r="N315" i="457"/>
  <c r="M315" i="457"/>
  <c r="M120" i="457"/>
  <c r="L315" i="457"/>
  <c r="L120" i="457"/>
  <c r="K315" i="457"/>
  <c r="K120" i="457"/>
  <c r="J315" i="457"/>
  <c r="N314" i="457"/>
  <c r="M314" i="457"/>
  <c r="L314" i="457"/>
  <c r="K314" i="457"/>
  <c r="J314" i="457"/>
  <c r="N313" i="457"/>
  <c r="M313" i="457"/>
  <c r="M109" i="457"/>
  <c r="L313" i="457"/>
  <c r="L109" i="457"/>
  <c r="K313" i="457"/>
  <c r="K109" i="457"/>
  <c r="J313" i="457"/>
  <c r="N312" i="457"/>
  <c r="M312" i="457"/>
  <c r="L312" i="457"/>
  <c r="K312" i="457"/>
  <c r="J312" i="457"/>
  <c r="N311" i="457"/>
  <c r="N85" i="457"/>
  <c r="M311" i="457"/>
  <c r="L311" i="457"/>
  <c r="L85" i="457"/>
  <c r="K311" i="457"/>
  <c r="J311" i="457"/>
  <c r="J85" i="457"/>
  <c r="N310" i="457"/>
  <c r="N83" i="457"/>
  <c r="M310" i="457"/>
  <c r="M83" i="457"/>
  <c r="L310" i="457"/>
  <c r="L83" i="457"/>
  <c r="K310" i="457"/>
  <c r="J310" i="457"/>
  <c r="J83" i="457"/>
  <c r="N309" i="457"/>
  <c r="M309" i="457"/>
  <c r="M84" i="457"/>
  <c r="L309" i="457"/>
  <c r="L84" i="457"/>
  <c r="K309" i="457"/>
  <c r="K84" i="457"/>
  <c r="J309" i="457"/>
  <c r="N308" i="457"/>
  <c r="M308" i="457"/>
  <c r="L308" i="457"/>
  <c r="K308" i="457"/>
  <c r="J308" i="457"/>
  <c r="N307" i="457"/>
  <c r="N80" i="457"/>
  <c r="M307" i="457"/>
  <c r="M80" i="457"/>
  <c r="L307" i="457"/>
  <c r="K307" i="457"/>
  <c r="K80" i="457"/>
  <c r="J307" i="457"/>
  <c r="J80" i="457"/>
  <c r="N306" i="457"/>
  <c r="M306" i="457"/>
  <c r="L306" i="457"/>
  <c r="K306" i="457"/>
  <c r="J306" i="457"/>
  <c r="N305" i="457"/>
  <c r="M305" i="457"/>
  <c r="L305" i="457"/>
  <c r="K305" i="457"/>
  <c r="J305" i="457"/>
  <c r="N304" i="457"/>
  <c r="M304" i="457"/>
  <c r="L304" i="457"/>
  <c r="K304" i="457"/>
  <c r="J304" i="457"/>
  <c r="N303" i="457"/>
  <c r="M303" i="457"/>
  <c r="L303" i="457"/>
  <c r="K303" i="457"/>
  <c r="J303" i="457"/>
  <c r="N302" i="457"/>
  <c r="N79" i="457"/>
  <c r="M302" i="457"/>
  <c r="L302" i="457"/>
  <c r="L79" i="457"/>
  <c r="K302" i="457"/>
  <c r="K79" i="457"/>
  <c r="J302" i="457"/>
  <c r="J79" i="457"/>
  <c r="N301" i="457"/>
  <c r="M301" i="457"/>
  <c r="M78" i="457"/>
  <c r="L301" i="457"/>
  <c r="L78" i="457"/>
  <c r="K301" i="457"/>
  <c r="K78" i="457"/>
  <c r="K86" i="457" s="1"/>
  <c r="J301" i="457"/>
  <c r="N300" i="457"/>
  <c r="M300" i="457"/>
  <c r="L300" i="457"/>
  <c r="K300" i="457"/>
  <c r="J300" i="457"/>
  <c r="N299" i="457"/>
  <c r="M299" i="457"/>
  <c r="M75" i="457"/>
  <c r="L299" i="457"/>
  <c r="L75" i="457"/>
  <c r="K299" i="457"/>
  <c r="K75" i="457"/>
  <c r="J299" i="457"/>
  <c r="N297" i="457"/>
  <c r="M297" i="457"/>
  <c r="L297" i="457"/>
  <c r="K297" i="457"/>
  <c r="K62" i="457"/>
  <c r="J297" i="457"/>
  <c r="J62" i="457"/>
  <c r="N295" i="457"/>
  <c r="M295" i="457"/>
  <c r="M53" i="457"/>
  <c r="M54" i="457" s="1"/>
  <c r="L295" i="457"/>
  <c r="L53" i="457"/>
  <c r="K295" i="457"/>
  <c r="K53" i="457"/>
  <c r="J295" i="457"/>
  <c r="N294" i="457"/>
  <c r="N52" i="457"/>
  <c r="M294" i="457"/>
  <c r="M52" i="457"/>
  <c r="L294" i="457"/>
  <c r="L52" i="457"/>
  <c r="K294" i="457"/>
  <c r="J294" i="457"/>
  <c r="J52" i="457"/>
  <c r="N293" i="457"/>
  <c r="N51" i="457"/>
  <c r="M293" i="457"/>
  <c r="M51" i="457"/>
  <c r="L293" i="457"/>
  <c r="K293" i="457"/>
  <c r="K51" i="457"/>
  <c r="J293" i="457"/>
  <c r="J51" i="457"/>
  <c r="N292" i="457"/>
  <c r="M292" i="457"/>
  <c r="L292" i="457"/>
  <c r="K292" i="457"/>
  <c r="J292" i="457"/>
  <c r="N291" i="457"/>
  <c r="M291" i="457"/>
  <c r="M49" i="457"/>
  <c r="L291" i="457"/>
  <c r="L49" i="457"/>
  <c r="K291" i="457"/>
  <c r="K49" i="457"/>
  <c r="J291" i="457"/>
  <c r="J328" i="457" s="1"/>
  <c r="J318" i="457" s="1"/>
  <c r="N259" i="457"/>
  <c r="M259" i="457"/>
  <c r="L259" i="457"/>
  <c r="K259" i="457"/>
  <c r="J259" i="457"/>
  <c r="I259" i="457"/>
  <c r="H259" i="457"/>
  <c r="G259" i="457"/>
  <c r="F259" i="457"/>
  <c r="E259" i="457"/>
  <c r="D259" i="457"/>
  <c r="N258" i="457"/>
  <c r="M258" i="457"/>
  <c r="L258" i="457"/>
  <c r="K258" i="457"/>
  <c r="J258" i="457"/>
  <c r="I258" i="457"/>
  <c r="H258" i="457"/>
  <c r="G258" i="457"/>
  <c r="F258" i="457"/>
  <c r="E258" i="457"/>
  <c r="D258" i="457"/>
  <c r="N257" i="457"/>
  <c r="M257" i="457"/>
  <c r="L257" i="457"/>
  <c r="K257" i="457"/>
  <c r="J257" i="457"/>
  <c r="I257" i="457"/>
  <c r="H257" i="457"/>
  <c r="G257" i="457"/>
  <c r="F257" i="457"/>
  <c r="E257" i="457"/>
  <c r="D257" i="457"/>
  <c r="N254" i="457"/>
  <c r="M254" i="457"/>
  <c r="L254" i="457"/>
  <c r="L255" i="457" s="1"/>
  <c r="M256" i="457" s="1"/>
  <c r="K254" i="457"/>
  <c r="J254" i="457"/>
  <c r="I254" i="457"/>
  <c r="H254" i="457"/>
  <c r="G254" i="457"/>
  <c r="F254" i="457"/>
  <c r="E254" i="457"/>
  <c r="D254" i="457"/>
  <c r="N251" i="457"/>
  <c r="M251" i="457"/>
  <c r="L251" i="457"/>
  <c r="K251" i="457"/>
  <c r="K252" i="457" s="1"/>
  <c r="J251" i="457"/>
  <c r="I251" i="457"/>
  <c r="I255" i="457"/>
  <c r="H251" i="457"/>
  <c r="G251" i="457"/>
  <c r="G255" i="457" s="1"/>
  <c r="F251" i="457"/>
  <c r="E251" i="457"/>
  <c r="E255" i="457"/>
  <c r="D251" i="457"/>
  <c r="N249" i="457"/>
  <c r="M249" i="457"/>
  <c r="L249" i="457"/>
  <c r="M250" i="457" s="1"/>
  <c r="M283" i="457" s="1"/>
  <c r="K249" i="457"/>
  <c r="J249" i="457"/>
  <c r="I249" i="457"/>
  <c r="H249" i="457"/>
  <c r="G249" i="457"/>
  <c r="F249" i="457"/>
  <c r="E249" i="457"/>
  <c r="D249" i="457"/>
  <c r="N248" i="457"/>
  <c r="M248" i="457"/>
  <c r="L248" i="457"/>
  <c r="K248" i="457"/>
  <c r="K338" i="457" s="1"/>
  <c r="J248" i="457"/>
  <c r="I248" i="457"/>
  <c r="H248" i="457"/>
  <c r="G248" i="457"/>
  <c r="F248" i="457"/>
  <c r="E248" i="457"/>
  <c r="D248" i="457"/>
  <c r="N246" i="457"/>
  <c r="N247" i="457" s="1"/>
  <c r="M246" i="457"/>
  <c r="L246" i="457"/>
  <c r="K246" i="457"/>
  <c r="J246" i="457"/>
  <c r="J247" i="457" s="1"/>
  <c r="I246" i="457"/>
  <c r="H246" i="457"/>
  <c r="G246" i="457"/>
  <c r="F246" i="457"/>
  <c r="E246" i="457"/>
  <c r="D246" i="457"/>
  <c r="N244" i="457"/>
  <c r="M244" i="457"/>
  <c r="N245" i="457" s="1"/>
  <c r="L244" i="457"/>
  <c r="K244" i="457"/>
  <c r="J244" i="457"/>
  <c r="I244" i="457"/>
  <c r="H244" i="457"/>
  <c r="G244" i="457"/>
  <c r="F244" i="457"/>
  <c r="E244" i="457"/>
  <c r="D244" i="457"/>
  <c r="N242" i="457"/>
  <c r="M242" i="457"/>
  <c r="L242" i="457"/>
  <c r="M243" i="457" s="1"/>
  <c r="K242" i="457"/>
  <c r="J242" i="457"/>
  <c r="I242" i="457"/>
  <c r="H242" i="457"/>
  <c r="G242" i="457"/>
  <c r="F242" i="457"/>
  <c r="E242" i="457"/>
  <c r="D242" i="457"/>
  <c r="N238" i="457"/>
  <c r="O238" i="457"/>
  <c r="P238" i="457" s="1"/>
  <c r="Q238" i="457" s="1"/>
  <c r="R238" i="457" s="1"/>
  <c r="S238" i="457" s="1"/>
  <c r="T238" i="457" s="1"/>
  <c r="U238" i="457" s="1"/>
  <c r="V238" i="457" s="1"/>
  <c r="W238" i="457" s="1"/>
  <c r="X238" i="457" s="1"/>
  <c r="M238" i="457"/>
  <c r="L238" i="457"/>
  <c r="K238" i="457"/>
  <c r="J238" i="457"/>
  <c r="I238" i="457"/>
  <c r="H238" i="457"/>
  <c r="G238" i="457"/>
  <c r="F238" i="457"/>
  <c r="E238" i="457"/>
  <c r="D238" i="457"/>
  <c r="O235" i="457"/>
  <c r="P235" i="457" s="1"/>
  <c r="Q235" i="457"/>
  <c r="R235" i="457" s="1"/>
  <c r="S235" i="457" s="1"/>
  <c r="T235" i="457" s="1"/>
  <c r="U235" i="457" s="1"/>
  <c r="V235" i="457" s="1"/>
  <c r="W235" i="457" s="1"/>
  <c r="X235" i="457" s="1"/>
  <c r="N235" i="457"/>
  <c r="M235" i="457"/>
  <c r="L235" i="457"/>
  <c r="K235" i="457"/>
  <c r="J235" i="457"/>
  <c r="I235" i="457"/>
  <c r="H235" i="457"/>
  <c r="G235" i="457"/>
  <c r="F235" i="457"/>
  <c r="F236" i="457" s="1"/>
  <c r="E235" i="457"/>
  <c r="D235" i="457"/>
  <c r="I234" i="457"/>
  <c r="I237" i="457"/>
  <c r="H234" i="457"/>
  <c r="H236" i="457"/>
  <c r="G234" i="457"/>
  <c r="G237" i="457"/>
  <c r="F234" i="457"/>
  <c r="E234" i="457"/>
  <c r="D234" i="457"/>
  <c r="I232" i="457"/>
  <c r="I233" i="457" s="1"/>
  <c r="H232" i="457"/>
  <c r="H29" i="457" s="1"/>
  <c r="G232" i="457"/>
  <c r="F232" i="457"/>
  <c r="F233" i="457" s="1"/>
  <c r="E232" i="457"/>
  <c r="D232" i="457"/>
  <c r="D29" i="457" s="1"/>
  <c r="N231" i="457"/>
  <c r="M231" i="457"/>
  <c r="L231" i="457"/>
  <c r="K231" i="457"/>
  <c r="J231" i="457"/>
  <c r="I231" i="457"/>
  <c r="H231" i="457"/>
  <c r="G231" i="457"/>
  <c r="F231" i="457"/>
  <c r="E231" i="457"/>
  <c r="D231" i="457"/>
  <c r="N226" i="457"/>
  <c r="M226" i="457"/>
  <c r="L226" i="457"/>
  <c r="K226" i="457"/>
  <c r="J226" i="457"/>
  <c r="I226" i="457"/>
  <c r="H226" i="457"/>
  <c r="G226" i="457"/>
  <c r="F226" i="457"/>
  <c r="E226" i="457"/>
  <c r="D226" i="457"/>
  <c r="O224" i="457"/>
  <c r="H224" i="457"/>
  <c r="F224" i="457"/>
  <c r="N221" i="457"/>
  <c r="M221" i="457"/>
  <c r="L221" i="457"/>
  <c r="K221" i="457"/>
  <c r="J221" i="457"/>
  <c r="I221" i="457"/>
  <c r="H221" i="457"/>
  <c r="G221" i="457"/>
  <c r="F221" i="457"/>
  <c r="E221" i="457"/>
  <c r="D221" i="457"/>
  <c r="N218" i="457"/>
  <c r="M218" i="457"/>
  <c r="L218" i="457"/>
  <c r="L126" i="457" s="1"/>
  <c r="K218" i="457"/>
  <c r="J218" i="457"/>
  <c r="I218" i="457"/>
  <c r="I126" i="457" s="1"/>
  <c r="I127" i="457" s="1"/>
  <c r="H218" i="457"/>
  <c r="H126" i="457"/>
  <c r="G218" i="457"/>
  <c r="G126" i="457" s="1"/>
  <c r="F218" i="457"/>
  <c r="E218" i="457"/>
  <c r="D218" i="457"/>
  <c r="D126" i="457"/>
  <c r="N217" i="457"/>
  <c r="M217" i="457"/>
  <c r="L217" i="457"/>
  <c r="K217" i="457"/>
  <c r="K59" i="457"/>
  <c r="J217" i="457"/>
  <c r="H217" i="457"/>
  <c r="G217" i="457"/>
  <c r="G59" i="457" s="1"/>
  <c r="F217" i="457"/>
  <c r="E217" i="457"/>
  <c r="D217" i="457"/>
  <c r="N216" i="457"/>
  <c r="M216" i="457"/>
  <c r="L216" i="457"/>
  <c r="K216" i="457"/>
  <c r="J216" i="457"/>
  <c r="I216" i="457"/>
  <c r="H216" i="457"/>
  <c r="G216" i="457"/>
  <c r="F216" i="457"/>
  <c r="E216" i="457"/>
  <c r="D216" i="457"/>
  <c r="N215" i="457"/>
  <c r="N222" i="457" s="1"/>
  <c r="M215" i="457"/>
  <c r="L215" i="457"/>
  <c r="L222" i="457" s="1"/>
  <c r="K215" i="457"/>
  <c r="K222" i="457" s="1"/>
  <c r="J215" i="457"/>
  <c r="J222" i="457" s="1"/>
  <c r="I215" i="457"/>
  <c r="H215" i="457"/>
  <c r="H222" i="457" s="1"/>
  <c r="G215" i="457"/>
  <c r="G222" i="457" s="1"/>
  <c r="F215" i="457"/>
  <c r="F222" i="457" s="1"/>
  <c r="E215" i="457"/>
  <c r="D215" i="457"/>
  <c r="D222" i="457" s="1"/>
  <c r="O212" i="457"/>
  <c r="P212" i="457" s="1"/>
  <c r="Q212" i="457" s="1"/>
  <c r="R212" i="457" s="1"/>
  <c r="S212" i="457"/>
  <c r="T212" i="457" s="1"/>
  <c r="U212" i="457" s="1"/>
  <c r="V212" i="457" s="1"/>
  <c r="W212" i="457" s="1"/>
  <c r="X212" i="457" s="1"/>
  <c r="N208" i="457"/>
  <c r="M208" i="457"/>
  <c r="L208" i="457"/>
  <c r="K208" i="457"/>
  <c r="J208" i="457"/>
  <c r="I208" i="457"/>
  <c r="H208" i="457"/>
  <c r="G208" i="457"/>
  <c r="F208" i="457"/>
  <c r="E208" i="457"/>
  <c r="D208" i="457"/>
  <c r="N207" i="457"/>
  <c r="M207" i="457"/>
  <c r="L207" i="457"/>
  <c r="K207" i="457"/>
  <c r="J207" i="457"/>
  <c r="I207" i="457"/>
  <c r="H207" i="457"/>
  <c r="G207" i="457"/>
  <c r="F207" i="457"/>
  <c r="E207" i="457"/>
  <c r="D207" i="457"/>
  <c r="I204" i="457"/>
  <c r="I203" i="457" s="1"/>
  <c r="H204" i="457"/>
  <c r="G204" i="457"/>
  <c r="H203" i="457"/>
  <c r="F204" i="457"/>
  <c r="F203" i="457" s="1"/>
  <c r="E204" i="457"/>
  <c r="D204" i="457"/>
  <c r="D203" i="457" s="1"/>
  <c r="I201" i="457"/>
  <c r="H201" i="457"/>
  <c r="G201" i="457"/>
  <c r="G200" i="457" s="1"/>
  <c r="F201" i="457"/>
  <c r="E201" i="457"/>
  <c r="D201" i="457"/>
  <c r="I199" i="457"/>
  <c r="H199" i="457"/>
  <c r="G199" i="457"/>
  <c r="F199" i="457"/>
  <c r="F200" i="457" s="1"/>
  <c r="E199" i="457"/>
  <c r="D199" i="457"/>
  <c r="O195" i="457"/>
  <c r="P195" i="457" s="1"/>
  <c r="Q195" i="457" s="1"/>
  <c r="R195" i="457" s="1"/>
  <c r="S195" i="457"/>
  <c r="T195" i="457" s="1"/>
  <c r="U195" i="457" s="1"/>
  <c r="V195" i="457" s="1"/>
  <c r="W195" i="457" s="1"/>
  <c r="X195" i="457" s="1"/>
  <c r="N195" i="457"/>
  <c r="M195" i="457"/>
  <c r="L195" i="457"/>
  <c r="K195" i="457"/>
  <c r="J195" i="457"/>
  <c r="I195" i="457"/>
  <c r="H195" i="457"/>
  <c r="G195" i="457"/>
  <c r="F195" i="457"/>
  <c r="E195" i="457"/>
  <c r="D195" i="457"/>
  <c r="N194" i="457"/>
  <c r="M194" i="457"/>
  <c r="L194" i="457"/>
  <c r="L110" i="457" s="1"/>
  <c r="K194" i="457"/>
  <c r="J194" i="457"/>
  <c r="I194" i="457"/>
  <c r="I110" i="457"/>
  <c r="H194" i="457"/>
  <c r="G194" i="457"/>
  <c r="F194" i="457"/>
  <c r="E194" i="457"/>
  <c r="D194" i="457"/>
  <c r="N193" i="457"/>
  <c r="O193" i="457"/>
  <c r="M193" i="457"/>
  <c r="L193" i="457"/>
  <c r="K193" i="457"/>
  <c r="J193" i="457"/>
  <c r="I193" i="457"/>
  <c r="H193" i="457"/>
  <c r="G193" i="457"/>
  <c r="F193" i="457"/>
  <c r="E193" i="457"/>
  <c r="D193" i="457"/>
  <c r="N192" i="457"/>
  <c r="O192" i="457" s="1"/>
  <c r="P192" i="457" s="1"/>
  <c r="Q192" i="457" s="1"/>
  <c r="R192" i="457"/>
  <c r="S192" i="457" s="1"/>
  <c r="T192" i="457" s="1"/>
  <c r="U192" i="457" s="1"/>
  <c r="V192" i="457" s="1"/>
  <c r="W192" i="457" s="1"/>
  <c r="X192" i="457" s="1"/>
  <c r="M192" i="457"/>
  <c r="L192" i="457"/>
  <c r="K192" i="457"/>
  <c r="J192" i="457"/>
  <c r="I192" i="457"/>
  <c r="H192" i="457"/>
  <c r="G192" i="457"/>
  <c r="F192" i="457"/>
  <c r="E192" i="457"/>
  <c r="D192" i="457"/>
  <c r="N191" i="457"/>
  <c r="O191" i="457"/>
  <c r="P191" i="457" s="1"/>
  <c r="Q191" i="457"/>
  <c r="R191" i="457" s="1"/>
  <c r="S191" i="457" s="1"/>
  <c r="T191" i="457" s="1"/>
  <c r="U191" i="457" s="1"/>
  <c r="V191" i="457" s="1"/>
  <c r="W191" i="457" s="1"/>
  <c r="X191" i="457" s="1"/>
  <c r="M191" i="457"/>
  <c r="M110" i="457" s="1"/>
  <c r="L191" i="457"/>
  <c r="K191" i="457"/>
  <c r="J191" i="457"/>
  <c r="J110" i="457"/>
  <c r="I191" i="457"/>
  <c r="H191" i="457"/>
  <c r="G191" i="457"/>
  <c r="F191" i="457"/>
  <c r="F110" i="457" s="1"/>
  <c r="E191" i="457"/>
  <c r="E110" i="457" s="1"/>
  <c r="D191" i="457"/>
  <c r="N190" i="457"/>
  <c r="O190" i="457" s="1"/>
  <c r="P190" i="457" s="1"/>
  <c r="Q190" i="457" s="1"/>
  <c r="R190" i="457"/>
  <c r="S190" i="457" s="1"/>
  <c r="T190" i="457" s="1"/>
  <c r="U190" i="457" s="1"/>
  <c r="V190" i="457" s="1"/>
  <c r="W190" i="457" s="1"/>
  <c r="X190" i="457" s="1"/>
  <c r="M190" i="457"/>
  <c r="L190" i="457"/>
  <c r="K190" i="457"/>
  <c r="J190" i="457"/>
  <c r="I190" i="457"/>
  <c r="H190" i="457"/>
  <c r="G190" i="457"/>
  <c r="F190" i="457"/>
  <c r="E190" i="457"/>
  <c r="D190" i="457"/>
  <c r="D189" i="457"/>
  <c r="N186" i="457"/>
  <c r="M186" i="457"/>
  <c r="L186" i="457"/>
  <c r="K186" i="457"/>
  <c r="J186" i="457"/>
  <c r="I186" i="457"/>
  <c r="H186" i="457"/>
  <c r="G186" i="457"/>
  <c r="F186" i="457"/>
  <c r="E186" i="457"/>
  <c r="D186" i="457"/>
  <c r="N183" i="457"/>
  <c r="M183" i="457"/>
  <c r="L183" i="457"/>
  <c r="K183" i="457"/>
  <c r="J183" i="457"/>
  <c r="I183" i="457"/>
  <c r="H183" i="457"/>
  <c r="G183" i="457"/>
  <c r="F183" i="457"/>
  <c r="E183" i="457"/>
  <c r="D183" i="457"/>
  <c r="N179" i="457"/>
  <c r="M179" i="457"/>
  <c r="L179" i="457"/>
  <c r="K179" i="457"/>
  <c r="J179" i="457"/>
  <c r="I179" i="457"/>
  <c r="H179" i="457"/>
  <c r="G179" i="457"/>
  <c r="F179" i="457"/>
  <c r="E179" i="457"/>
  <c r="D179" i="457"/>
  <c r="N178" i="457"/>
  <c r="M178" i="457"/>
  <c r="L178" i="457"/>
  <c r="K178" i="457"/>
  <c r="J178" i="457"/>
  <c r="I178" i="457"/>
  <c r="H178" i="457"/>
  <c r="G178" i="457"/>
  <c r="F178" i="457"/>
  <c r="E178" i="457"/>
  <c r="D178" i="457"/>
  <c r="M175" i="457"/>
  <c r="I175" i="457"/>
  <c r="H175" i="457"/>
  <c r="G175" i="457"/>
  <c r="F175" i="457"/>
  <c r="E175" i="457"/>
  <c r="D175" i="457"/>
  <c r="N174" i="457"/>
  <c r="O174" i="457"/>
  <c r="P174" i="457" s="1"/>
  <c r="Q174" i="457"/>
  <c r="R174" i="457" s="1"/>
  <c r="S174" i="457" s="1"/>
  <c r="T174" i="457" s="1"/>
  <c r="U174" i="457" s="1"/>
  <c r="V174" i="457" s="1"/>
  <c r="W174" i="457" s="1"/>
  <c r="X174" i="457" s="1"/>
  <c r="J174" i="457"/>
  <c r="I174" i="457"/>
  <c r="H174" i="457"/>
  <c r="G174" i="457"/>
  <c r="F174" i="457"/>
  <c r="E174" i="457"/>
  <c r="D174" i="457"/>
  <c r="K173" i="457"/>
  <c r="I173" i="457"/>
  <c r="H173" i="457"/>
  <c r="G173" i="457"/>
  <c r="F173" i="457"/>
  <c r="E173" i="457"/>
  <c r="D173" i="457"/>
  <c r="L172" i="457"/>
  <c r="I172" i="457"/>
  <c r="H172" i="457"/>
  <c r="G172" i="457"/>
  <c r="F172" i="457"/>
  <c r="E172" i="457"/>
  <c r="D172" i="457"/>
  <c r="M171" i="457"/>
  <c r="M65" i="457"/>
  <c r="I171" i="457"/>
  <c r="H171" i="457"/>
  <c r="G171" i="457"/>
  <c r="F171" i="457"/>
  <c r="E171" i="457"/>
  <c r="D171" i="457"/>
  <c r="Q170" i="457"/>
  <c r="R170" i="457"/>
  <c r="S170" i="457" s="1"/>
  <c r="T170" i="457" s="1"/>
  <c r="U170" i="457" s="1"/>
  <c r="V170" i="457" s="1"/>
  <c r="W170" i="457" s="1"/>
  <c r="X170" i="457" s="1"/>
  <c r="P170" i="457"/>
  <c r="O170" i="457"/>
  <c r="M170" i="457"/>
  <c r="K170" i="457"/>
  <c r="I170" i="457"/>
  <c r="H170" i="457"/>
  <c r="G170" i="457"/>
  <c r="F170" i="457"/>
  <c r="E170" i="457"/>
  <c r="D170" i="457"/>
  <c r="D169" i="457"/>
  <c r="I164" i="457"/>
  <c r="H164" i="457"/>
  <c r="G164" i="457"/>
  <c r="G162" i="457" s="1"/>
  <c r="F164" i="457"/>
  <c r="E164" i="457"/>
  <c r="D164" i="457"/>
  <c r="I161" i="457"/>
  <c r="H161" i="457"/>
  <c r="G161" i="457"/>
  <c r="G157" i="457" s="1"/>
  <c r="F161" i="457"/>
  <c r="F159" i="457" s="1"/>
  <c r="E161" i="457"/>
  <c r="D161" i="457"/>
  <c r="I160" i="457"/>
  <c r="H160" i="457"/>
  <c r="E160" i="457"/>
  <c r="D160" i="457"/>
  <c r="I159" i="457"/>
  <c r="H159" i="457"/>
  <c r="G159" i="457"/>
  <c r="D159" i="457"/>
  <c r="I158" i="457"/>
  <c r="H158" i="457"/>
  <c r="D158" i="457"/>
  <c r="I157" i="457"/>
  <c r="H157" i="457"/>
  <c r="F157" i="457"/>
  <c r="E157" i="457"/>
  <c r="D157" i="457"/>
  <c r="N154" i="457"/>
  <c r="M154" i="457"/>
  <c r="L154" i="457"/>
  <c r="K154" i="457"/>
  <c r="J154" i="457"/>
  <c r="I154" i="457"/>
  <c r="H154" i="457"/>
  <c r="G154" i="457"/>
  <c r="F154" i="457"/>
  <c r="E154" i="457"/>
  <c r="D154" i="457"/>
  <c r="N153" i="457"/>
  <c r="M153" i="457"/>
  <c r="L153" i="457"/>
  <c r="K153" i="457"/>
  <c r="J153" i="457"/>
  <c r="I153" i="457"/>
  <c r="H153" i="457"/>
  <c r="G153" i="457"/>
  <c r="F153" i="457"/>
  <c r="E153" i="457"/>
  <c r="D153" i="457"/>
  <c r="N152" i="457"/>
  <c r="M152" i="457"/>
  <c r="L152" i="457"/>
  <c r="K152" i="457"/>
  <c r="J152" i="457"/>
  <c r="I152" i="457"/>
  <c r="H152" i="457"/>
  <c r="G152" i="457"/>
  <c r="F152" i="457"/>
  <c r="E152" i="457"/>
  <c r="D152" i="457"/>
  <c r="N151" i="457"/>
  <c r="M151" i="457"/>
  <c r="L151" i="457"/>
  <c r="K151" i="457"/>
  <c r="J151" i="457"/>
  <c r="I151" i="457"/>
  <c r="H151" i="457"/>
  <c r="G151" i="457"/>
  <c r="F151" i="457"/>
  <c r="E151" i="457"/>
  <c r="D151" i="457"/>
  <c r="J148" i="457"/>
  <c r="I148" i="457"/>
  <c r="H148" i="457"/>
  <c r="G148" i="457"/>
  <c r="G147" i="457" s="1"/>
  <c r="F148" i="457"/>
  <c r="F147" i="457" s="1"/>
  <c r="E148" i="457"/>
  <c r="D148" i="457"/>
  <c r="D147" i="457"/>
  <c r="I144" i="457"/>
  <c r="H144" i="457"/>
  <c r="G144" i="457"/>
  <c r="F144" i="457"/>
  <c r="E144" i="457"/>
  <c r="D144" i="457"/>
  <c r="I142" i="457"/>
  <c r="I143" i="457" s="1"/>
  <c r="H142" i="457"/>
  <c r="H143" i="457" s="1"/>
  <c r="H67" i="457" s="1"/>
  <c r="G142" i="457"/>
  <c r="F142" i="457"/>
  <c r="F143" i="457" s="1"/>
  <c r="F67" i="457" s="1"/>
  <c r="E142" i="457"/>
  <c r="E143" i="457" s="1"/>
  <c r="D142" i="457"/>
  <c r="I139" i="457"/>
  <c r="H139" i="457"/>
  <c r="G139" i="457"/>
  <c r="F139" i="457"/>
  <c r="E139" i="457"/>
  <c r="D139" i="457"/>
  <c r="I137" i="457"/>
  <c r="H137" i="457"/>
  <c r="G137" i="457"/>
  <c r="F137" i="457"/>
  <c r="E137" i="457"/>
  <c r="D137" i="457"/>
  <c r="I136" i="457"/>
  <c r="H136" i="457"/>
  <c r="G136" i="457"/>
  <c r="F136" i="457"/>
  <c r="E136" i="457"/>
  <c r="D136" i="457"/>
  <c r="I135" i="457"/>
  <c r="H135" i="457"/>
  <c r="G135" i="457"/>
  <c r="F135" i="457"/>
  <c r="E135" i="457"/>
  <c r="D135" i="457"/>
  <c r="I134" i="457"/>
  <c r="H134" i="457"/>
  <c r="G134" i="457"/>
  <c r="F134" i="457"/>
  <c r="F138" i="457" s="1"/>
  <c r="E134" i="457"/>
  <c r="D134" i="457"/>
  <c r="I133" i="457"/>
  <c r="H133" i="457"/>
  <c r="G133" i="457"/>
  <c r="F133" i="457"/>
  <c r="E133" i="457"/>
  <c r="D133" i="457"/>
  <c r="I132" i="457"/>
  <c r="H132" i="457"/>
  <c r="G132" i="457"/>
  <c r="G138" i="457"/>
  <c r="F132" i="457"/>
  <c r="E132" i="457"/>
  <c r="D132" i="457"/>
  <c r="I129" i="457"/>
  <c r="H129" i="457"/>
  <c r="G129" i="457"/>
  <c r="F129" i="457"/>
  <c r="E129" i="457"/>
  <c r="D129" i="457"/>
  <c r="I128" i="457"/>
  <c r="H128" i="457"/>
  <c r="H127" i="457" s="1"/>
  <c r="G128" i="457"/>
  <c r="F128" i="457"/>
  <c r="E128" i="457"/>
  <c r="D128" i="457"/>
  <c r="N126" i="457"/>
  <c r="M126" i="457"/>
  <c r="K126" i="457"/>
  <c r="J126" i="457"/>
  <c r="F126" i="457"/>
  <c r="E126" i="457"/>
  <c r="E127" i="457"/>
  <c r="I123" i="457"/>
  <c r="H123" i="457"/>
  <c r="G123" i="457"/>
  <c r="F123" i="457"/>
  <c r="E123" i="457"/>
  <c r="D123" i="457"/>
  <c r="I122" i="457"/>
  <c r="H122" i="457"/>
  <c r="G122" i="457"/>
  <c r="F122" i="457"/>
  <c r="F121" i="457" s="1"/>
  <c r="E122" i="457"/>
  <c r="D122" i="457"/>
  <c r="S120" i="457"/>
  <c r="R120" i="457"/>
  <c r="Q120" i="457"/>
  <c r="P120" i="457"/>
  <c r="O120" i="457"/>
  <c r="N120" i="457"/>
  <c r="J120" i="457"/>
  <c r="I120" i="457"/>
  <c r="H120" i="457"/>
  <c r="H121" i="457"/>
  <c r="G120" i="457"/>
  <c r="F120" i="457"/>
  <c r="E120" i="457"/>
  <c r="D120" i="457"/>
  <c r="D121" i="457"/>
  <c r="N117" i="457"/>
  <c r="M117" i="457"/>
  <c r="L117" i="457"/>
  <c r="K117" i="457"/>
  <c r="J117" i="457"/>
  <c r="I117" i="457"/>
  <c r="H117" i="457"/>
  <c r="G117" i="457"/>
  <c r="F117" i="457"/>
  <c r="E117" i="457"/>
  <c r="D117" i="457"/>
  <c r="N116" i="457"/>
  <c r="M116" i="457"/>
  <c r="L116" i="457"/>
  <c r="K116" i="457"/>
  <c r="J116" i="457"/>
  <c r="I116" i="457"/>
  <c r="H116" i="457"/>
  <c r="G116" i="457"/>
  <c r="F116" i="457"/>
  <c r="E116" i="457"/>
  <c r="D116" i="457"/>
  <c r="I113" i="457"/>
  <c r="H113" i="457"/>
  <c r="G113" i="457"/>
  <c r="F113" i="457"/>
  <c r="E113" i="457"/>
  <c r="D113" i="457"/>
  <c r="I112" i="457"/>
  <c r="H112" i="457"/>
  <c r="G112" i="457"/>
  <c r="F112" i="457"/>
  <c r="E112" i="457"/>
  <c r="D112" i="457"/>
  <c r="K110" i="457"/>
  <c r="H110" i="457"/>
  <c r="G110" i="457"/>
  <c r="D110" i="457"/>
  <c r="N109" i="457"/>
  <c r="J109" i="457"/>
  <c r="I109" i="457"/>
  <c r="I111" i="457" s="1"/>
  <c r="H109" i="457"/>
  <c r="G109" i="457"/>
  <c r="F109" i="457"/>
  <c r="E109" i="457"/>
  <c r="D109" i="457"/>
  <c r="I104" i="457"/>
  <c r="H104" i="457"/>
  <c r="G104" i="457"/>
  <c r="F104" i="457"/>
  <c r="E104" i="457"/>
  <c r="D104" i="457"/>
  <c r="I103" i="457"/>
  <c r="H103" i="457"/>
  <c r="G103" i="457"/>
  <c r="F103" i="457"/>
  <c r="E103" i="457"/>
  <c r="D103" i="457"/>
  <c r="D20" i="457" s="1"/>
  <c r="N100" i="457"/>
  <c r="M100" i="457"/>
  <c r="L100" i="457"/>
  <c r="K100" i="457"/>
  <c r="J100" i="457"/>
  <c r="I100" i="457"/>
  <c r="H100" i="457"/>
  <c r="G100" i="457"/>
  <c r="F100" i="457"/>
  <c r="E100" i="457"/>
  <c r="D100" i="457"/>
  <c r="N99" i="457"/>
  <c r="M99" i="457"/>
  <c r="L99" i="457"/>
  <c r="K99" i="457"/>
  <c r="J99" i="457"/>
  <c r="I99" i="457"/>
  <c r="H99" i="457"/>
  <c r="G99" i="457"/>
  <c r="F99" i="457"/>
  <c r="E99" i="457"/>
  <c r="D99" i="457"/>
  <c r="X96" i="457"/>
  <c r="W96" i="457"/>
  <c r="V96" i="457"/>
  <c r="U96" i="457"/>
  <c r="T96" i="457"/>
  <c r="S96" i="457"/>
  <c r="R96" i="457"/>
  <c r="Q96" i="457"/>
  <c r="P96" i="457"/>
  <c r="O96" i="457"/>
  <c r="N96" i="457"/>
  <c r="M96" i="457"/>
  <c r="L96" i="457"/>
  <c r="K96" i="457"/>
  <c r="J96" i="457"/>
  <c r="I96" i="457"/>
  <c r="H96" i="457"/>
  <c r="G96" i="457"/>
  <c r="F96" i="457"/>
  <c r="E96" i="457"/>
  <c r="D96" i="457"/>
  <c r="N95" i="457"/>
  <c r="M95" i="457"/>
  <c r="L95" i="457"/>
  <c r="K95" i="457"/>
  <c r="J95" i="457"/>
  <c r="I95" i="457"/>
  <c r="H95" i="457"/>
  <c r="G95" i="457"/>
  <c r="F95" i="457"/>
  <c r="E95" i="457"/>
  <c r="D95" i="457"/>
  <c r="N94" i="457"/>
  <c r="M94" i="457"/>
  <c r="L94" i="457"/>
  <c r="K94" i="457"/>
  <c r="J94" i="457"/>
  <c r="I94" i="457"/>
  <c r="H94" i="457"/>
  <c r="G94" i="457"/>
  <c r="F94" i="457"/>
  <c r="E94" i="457"/>
  <c r="D94" i="457"/>
  <c r="N93" i="457"/>
  <c r="M93" i="457"/>
  <c r="L93" i="457"/>
  <c r="K93" i="457"/>
  <c r="J93" i="457"/>
  <c r="I93" i="457"/>
  <c r="H93" i="457"/>
  <c r="G93" i="457"/>
  <c r="F93" i="457"/>
  <c r="E93" i="457"/>
  <c r="D93" i="457"/>
  <c r="N92" i="457"/>
  <c r="M92" i="457"/>
  <c r="L92" i="457"/>
  <c r="K92" i="457"/>
  <c r="J92" i="457"/>
  <c r="I92" i="457"/>
  <c r="H92" i="457"/>
  <c r="G92" i="457"/>
  <c r="F92" i="457"/>
  <c r="E92" i="457"/>
  <c r="D92" i="457"/>
  <c r="N91" i="457"/>
  <c r="M91" i="457"/>
  <c r="L91" i="457"/>
  <c r="K91" i="457"/>
  <c r="J91" i="457"/>
  <c r="I91" i="457"/>
  <c r="H91" i="457"/>
  <c r="G91" i="457"/>
  <c r="F91" i="457"/>
  <c r="E91" i="457"/>
  <c r="D91" i="457"/>
  <c r="I89" i="457"/>
  <c r="H89" i="457"/>
  <c r="G89" i="457"/>
  <c r="F89" i="457"/>
  <c r="E89" i="457"/>
  <c r="D89" i="457"/>
  <c r="D88" i="457" s="1"/>
  <c r="I87" i="457"/>
  <c r="H87" i="457"/>
  <c r="G87" i="457"/>
  <c r="F87" i="457"/>
  <c r="F88" i="457" s="1"/>
  <c r="E87" i="457"/>
  <c r="D87" i="457"/>
  <c r="M85" i="457"/>
  <c r="K85" i="457"/>
  <c r="N84" i="457"/>
  <c r="J84" i="457"/>
  <c r="I84" i="457"/>
  <c r="H84" i="457"/>
  <c r="G84" i="457"/>
  <c r="F84" i="457"/>
  <c r="K83" i="457"/>
  <c r="I83" i="457"/>
  <c r="H83" i="457"/>
  <c r="G83" i="457"/>
  <c r="F83" i="457"/>
  <c r="E83" i="457"/>
  <c r="D83" i="457"/>
  <c r="N82" i="457"/>
  <c r="M82" i="457"/>
  <c r="L82" i="457"/>
  <c r="K82" i="457"/>
  <c r="J82" i="457"/>
  <c r="I82" i="457"/>
  <c r="H82" i="457"/>
  <c r="G82" i="457"/>
  <c r="F82" i="457"/>
  <c r="E82" i="457"/>
  <c r="D82" i="457"/>
  <c r="N81" i="457"/>
  <c r="O81" i="457"/>
  <c r="P81" i="457" s="1"/>
  <c r="Q81" i="457" s="1"/>
  <c r="R81" i="457" s="1"/>
  <c r="S81" i="457" s="1"/>
  <c r="T81" i="457" s="1"/>
  <c r="U81" i="457" s="1"/>
  <c r="V81" i="457" s="1"/>
  <c r="W81" i="457" s="1"/>
  <c r="X81" i="457" s="1"/>
  <c r="M81" i="457"/>
  <c r="L81" i="457"/>
  <c r="K81" i="457"/>
  <c r="J81" i="457"/>
  <c r="I81" i="457"/>
  <c r="H81" i="457"/>
  <c r="G81" i="457"/>
  <c r="F81" i="457"/>
  <c r="E81" i="457"/>
  <c r="D81" i="457"/>
  <c r="L80" i="457"/>
  <c r="I80" i="457"/>
  <c r="H80" i="457"/>
  <c r="G80" i="457"/>
  <c r="F80" i="457"/>
  <c r="E80" i="457"/>
  <c r="D80" i="457"/>
  <c r="M79" i="457"/>
  <c r="I79" i="457"/>
  <c r="H79" i="457"/>
  <c r="G79" i="457"/>
  <c r="F79" i="457"/>
  <c r="E79" i="457"/>
  <c r="D79" i="457"/>
  <c r="N78" i="457"/>
  <c r="J78" i="457"/>
  <c r="I78" i="457"/>
  <c r="H78" i="457"/>
  <c r="G78" i="457"/>
  <c r="F78" i="457"/>
  <c r="E78" i="457"/>
  <c r="D78" i="457"/>
  <c r="I77" i="457"/>
  <c r="H77" i="457"/>
  <c r="G77" i="457"/>
  <c r="F77" i="457"/>
  <c r="E77" i="457"/>
  <c r="D77" i="457"/>
  <c r="O76" i="457"/>
  <c r="P76" i="457" s="1"/>
  <c r="Q76" i="457" s="1"/>
  <c r="R76" i="457" s="1"/>
  <c r="S76" i="457" s="1"/>
  <c r="T76" i="457" s="1"/>
  <c r="U76" i="457" s="1"/>
  <c r="V76" i="457" s="1"/>
  <c r="W76" i="457" s="1"/>
  <c r="X76" i="457" s="1"/>
  <c r="I76" i="457"/>
  <c r="H76" i="457"/>
  <c r="G76" i="457"/>
  <c r="F76" i="457"/>
  <c r="E76" i="457"/>
  <c r="D76" i="457"/>
  <c r="N75" i="457"/>
  <c r="N266" i="457" s="1"/>
  <c r="J75" i="457"/>
  <c r="I75" i="457"/>
  <c r="H75" i="457"/>
  <c r="G75" i="457"/>
  <c r="F75" i="457"/>
  <c r="E75" i="457"/>
  <c r="D75" i="457"/>
  <c r="D71" i="457"/>
  <c r="I70" i="457"/>
  <c r="I72" i="457" s="1"/>
  <c r="H70" i="457"/>
  <c r="G70" i="457"/>
  <c r="F70" i="457"/>
  <c r="E70" i="457"/>
  <c r="D70" i="457"/>
  <c r="I69" i="457"/>
  <c r="I68" i="457" s="1"/>
  <c r="H69" i="457"/>
  <c r="G69" i="457"/>
  <c r="F69" i="457"/>
  <c r="E69" i="457"/>
  <c r="D69" i="457"/>
  <c r="I67" i="457"/>
  <c r="E67" i="457"/>
  <c r="D67" i="457"/>
  <c r="N66" i="457"/>
  <c r="M66" i="457"/>
  <c r="L66" i="457"/>
  <c r="K66" i="457"/>
  <c r="J66" i="457"/>
  <c r="I66" i="457"/>
  <c r="H66" i="457"/>
  <c r="H68" i="457" s="1"/>
  <c r="G66" i="457"/>
  <c r="F66" i="457"/>
  <c r="E66" i="457"/>
  <c r="D66" i="457"/>
  <c r="D68" i="457" s="1"/>
  <c r="I65" i="457"/>
  <c r="H65" i="457"/>
  <c r="G65" i="457"/>
  <c r="F65" i="457"/>
  <c r="E65" i="457"/>
  <c r="D65" i="457"/>
  <c r="I62" i="457"/>
  <c r="H62" i="457"/>
  <c r="G62" i="457"/>
  <c r="F62" i="457"/>
  <c r="E62" i="457"/>
  <c r="D62" i="457"/>
  <c r="N59" i="457"/>
  <c r="N60" i="457" s="1"/>
  <c r="M59" i="457"/>
  <c r="L59" i="457"/>
  <c r="L60" i="457"/>
  <c r="J59" i="457"/>
  <c r="J60" i="457"/>
  <c r="H59" i="457"/>
  <c r="H60" i="457" s="1"/>
  <c r="F59" i="457"/>
  <c r="F60" i="457" s="1"/>
  <c r="E59" i="457"/>
  <c r="D59" i="457"/>
  <c r="D60" i="457"/>
  <c r="I56" i="457"/>
  <c r="H56" i="457"/>
  <c r="G56" i="457"/>
  <c r="G17" i="457" s="1"/>
  <c r="F56" i="457"/>
  <c r="F17" i="457"/>
  <c r="E56" i="457"/>
  <c r="D56" i="457"/>
  <c r="N53" i="457"/>
  <c r="J53" i="457"/>
  <c r="I53" i="457"/>
  <c r="I54" i="457" s="1"/>
  <c r="I55" i="457" s="1"/>
  <c r="K52" i="457"/>
  <c r="I52" i="457"/>
  <c r="L51" i="457"/>
  <c r="I51" i="457"/>
  <c r="H51" i="457"/>
  <c r="G51" i="457"/>
  <c r="F51" i="457"/>
  <c r="E51" i="457"/>
  <c r="D51" i="457"/>
  <c r="M50" i="457"/>
  <c r="I50" i="457"/>
  <c r="H50" i="457"/>
  <c r="G50" i="457"/>
  <c r="F50" i="457"/>
  <c r="E50" i="457"/>
  <c r="D50" i="457"/>
  <c r="N49" i="457"/>
  <c r="N54" i="457" s="1"/>
  <c r="N8" i="457" s="1"/>
  <c r="J49" i="457"/>
  <c r="I49" i="457"/>
  <c r="H49" i="457"/>
  <c r="G49" i="457"/>
  <c r="F49" i="457"/>
  <c r="E49" i="457"/>
  <c r="D49" i="457"/>
  <c r="H38" i="457"/>
  <c r="I35" i="457"/>
  <c r="H35" i="457"/>
  <c r="F35" i="457"/>
  <c r="E35" i="457"/>
  <c r="D35" i="457"/>
  <c r="G29" i="457"/>
  <c r="F29" i="457"/>
  <c r="N23" i="457"/>
  <c r="J23" i="457"/>
  <c r="I23" i="457"/>
  <c r="H23" i="457"/>
  <c r="G23" i="457"/>
  <c r="I17" i="457"/>
  <c r="E17" i="457"/>
  <c r="L14" i="457"/>
  <c r="I14" i="457"/>
  <c r="H14" i="457"/>
  <c r="G14" i="457"/>
  <c r="F14" i="457"/>
  <c r="E14" i="457"/>
  <c r="D14" i="457"/>
  <c r="N12" i="457"/>
  <c r="M12" i="457"/>
  <c r="L12" i="457"/>
  <c r="K12" i="457"/>
  <c r="J12" i="457"/>
  <c r="I12" i="457"/>
  <c r="H12" i="457"/>
  <c r="G12" i="457"/>
  <c r="F12" i="457"/>
  <c r="E12" i="457"/>
  <c r="D12" i="457"/>
  <c r="X4" i="457"/>
  <c r="W4" i="457"/>
  <c r="V4" i="457"/>
  <c r="U4" i="457"/>
  <c r="T4" i="457"/>
  <c r="S4" i="457"/>
  <c r="R4" i="457"/>
  <c r="Q4" i="457"/>
  <c r="P4" i="457"/>
  <c r="P289" i="457"/>
  <c r="O4" i="457"/>
  <c r="O289" i="457"/>
  <c r="N4" i="457"/>
  <c r="N289" i="457"/>
  <c r="M4" i="457"/>
  <c r="M289" i="457"/>
  <c r="L4" i="457"/>
  <c r="L289" i="457"/>
  <c r="K4" i="457"/>
  <c r="K289" i="457"/>
  <c r="J4" i="457"/>
  <c r="J289" i="457"/>
  <c r="I4" i="457"/>
  <c r="I289" i="457"/>
  <c r="H4" i="457"/>
  <c r="H289" i="457"/>
  <c r="G4" i="457"/>
  <c r="G289" i="457"/>
  <c r="F4" i="457"/>
  <c r="F289" i="457"/>
  <c r="E4" i="457"/>
  <c r="E289" i="457"/>
  <c r="D4" i="457"/>
  <c r="D289" i="457"/>
  <c r="C1" i="457"/>
  <c r="D28" i="457"/>
  <c r="I29" i="457"/>
  <c r="G35" i="457"/>
  <c r="E68" i="457"/>
  <c r="D72" i="457"/>
  <c r="F111" i="457"/>
  <c r="N110" i="457"/>
  <c r="E138" i="457"/>
  <c r="I138" i="457"/>
  <c r="G143" i="457"/>
  <c r="G67" i="457"/>
  <c r="I145" i="457"/>
  <c r="I71" i="457" s="1"/>
  <c r="E147" i="457"/>
  <c r="E11" i="457" s="1"/>
  <c r="E10" i="457" s="1"/>
  <c r="G158" i="457"/>
  <c r="G160" i="457"/>
  <c r="I162" i="457"/>
  <c r="E200" i="457"/>
  <c r="I200" i="457"/>
  <c r="G203" i="457"/>
  <c r="D210" i="457"/>
  <c r="H210" i="457"/>
  <c r="E224" i="457"/>
  <c r="I224" i="457"/>
  <c r="D233" i="457"/>
  <c r="H233" i="457"/>
  <c r="F38" i="457"/>
  <c r="F245" i="457"/>
  <c r="J245" i="457"/>
  <c r="G247" i="457"/>
  <c r="E250" i="457"/>
  <c r="E283" i="457" s="1"/>
  <c r="E285" i="457" s="1"/>
  <c r="I250" i="457"/>
  <c r="I283" i="457" s="1"/>
  <c r="D255" i="457"/>
  <c r="H252" i="457"/>
  <c r="E111" i="457"/>
  <c r="G127" i="457"/>
  <c r="D138" i="457"/>
  <c r="H138" i="457"/>
  <c r="H145" i="457"/>
  <c r="H71" i="457"/>
  <c r="H72" i="457" s="1"/>
  <c r="F158" i="457"/>
  <c r="F160" i="457"/>
  <c r="D163" i="457"/>
  <c r="H163" i="457"/>
  <c r="D200" i="457"/>
  <c r="H200" i="457"/>
  <c r="G233" i="457"/>
  <c r="D19" i="457"/>
  <c r="D111" i="457"/>
  <c r="H111" i="457"/>
  <c r="F127" i="457"/>
  <c r="F210" i="457"/>
  <c r="J210" i="457"/>
  <c r="N210" i="457"/>
  <c r="O215" i="457"/>
  <c r="G224" i="457"/>
  <c r="H245" i="457"/>
  <c r="E247" i="457"/>
  <c r="I247" i="457"/>
  <c r="G250" i="457"/>
  <c r="G283" i="457"/>
  <c r="G285" i="457" s="1"/>
  <c r="F252" i="457"/>
  <c r="J252" i="457"/>
  <c r="G20" i="457"/>
  <c r="G19" i="457" s="1"/>
  <c r="G210" i="457"/>
  <c r="K210" i="457"/>
  <c r="M210" i="457"/>
  <c r="F243" i="457"/>
  <c r="H243" i="457"/>
  <c r="J243" i="457"/>
  <c r="J157" i="455"/>
  <c r="M157" i="455"/>
  <c r="M158" i="455"/>
  <c r="K158" i="455"/>
  <c r="E121" i="457"/>
  <c r="G121" i="457"/>
  <c r="I121" i="457"/>
  <c r="E243" i="457"/>
  <c r="G243" i="457"/>
  <c r="I243" i="457"/>
  <c r="J87" i="457"/>
  <c r="H88" i="457"/>
  <c r="F68" i="457"/>
  <c r="D176" i="457"/>
  <c r="E169" i="457"/>
  <c r="E176" i="457" s="1"/>
  <c r="F169" i="457"/>
  <c r="F176" i="457" s="1"/>
  <c r="G169" i="457"/>
  <c r="G176" i="457" s="1"/>
  <c r="H169" i="457" s="1"/>
  <c r="H176" i="457" s="1"/>
  <c r="I169" i="457" s="1"/>
  <c r="I176" i="457" s="1"/>
  <c r="J169" i="457"/>
  <c r="J176" i="457" s="1"/>
  <c r="K169" i="457" s="1"/>
  <c r="K176" i="457" s="1"/>
  <c r="L169" i="457" s="1"/>
  <c r="L176" i="457" s="1"/>
  <c r="M169" i="457" s="1"/>
  <c r="M176" i="457" s="1"/>
  <c r="N169" i="457" s="1"/>
  <c r="N176" i="457" s="1"/>
  <c r="O169" i="457" s="1"/>
  <c r="O176" i="457" s="1"/>
  <c r="D196" i="457"/>
  <c r="E245" i="457"/>
  <c r="G245" i="457"/>
  <c r="I245" i="457"/>
  <c r="F247" i="457"/>
  <c r="H247" i="457"/>
  <c r="H274" i="457" s="1"/>
  <c r="F250" i="457"/>
  <c r="F283" i="457" s="1"/>
  <c r="F285" i="457" s="1"/>
  <c r="H250" i="457"/>
  <c r="H283" i="457" s="1"/>
  <c r="J250" i="457"/>
  <c r="J283" i="457" s="1"/>
  <c r="E256" i="457"/>
  <c r="J89" i="457"/>
  <c r="J159" i="455"/>
  <c r="M159" i="455"/>
  <c r="K159" i="455"/>
  <c r="J158" i="455"/>
  <c r="K56" i="457"/>
  <c r="K17" i="457" s="1"/>
  <c r="J161" i="457"/>
  <c r="J14" i="457"/>
  <c r="N14" i="457"/>
  <c r="K50" i="457"/>
  <c r="J204" i="457"/>
  <c r="J199" i="457"/>
  <c r="J298" i="457"/>
  <c r="J70" i="457"/>
  <c r="J56" i="457"/>
  <c r="J17" i="457" s="1"/>
  <c r="J18" i="457" s="1"/>
  <c r="L56" i="457"/>
  <c r="L17" i="457" s="1"/>
  <c r="N56" i="457"/>
  <c r="O23" i="457"/>
  <c r="P23" i="457" s="1"/>
  <c r="Q23" i="457" s="1"/>
  <c r="M56" i="457"/>
  <c r="M17" i="457" s="1"/>
  <c r="J158" i="457"/>
  <c r="O171" i="457"/>
  <c r="N65" i="457"/>
  <c r="K14" i="457"/>
  <c r="M14" i="457"/>
  <c r="K23" i="457"/>
  <c r="M23" i="457"/>
  <c r="J50" i="457"/>
  <c r="L50" i="457"/>
  <c r="L54" i="457" s="1"/>
  <c r="N50" i="457"/>
  <c r="J157" i="457"/>
  <c r="J164" i="457"/>
  <c r="J163" i="457"/>
  <c r="L317" i="457"/>
  <c r="K148" i="457"/>
  <c r="K87" i="457"/>
  <c r="L324" i="457"/>
  <c r="L323" i="457"/>
  <c r="L325" i="457"/>
  <c r="L328" i="457" s="1"/>
  <c r="L318" i="457" s="1"/>
  <c r="L319" i="457" s="1"/>
  <c r="K204" i="457"/>
  <c r="L322" i="457"/>
  <c r="K161" i="457"/>
  <c r="K296" i="457"/>
  <c r="K69" i="457"/>
  <c r="K324" i="457"/>
  <c r="K164" i="457"/>
  <c r="J296" i="457"/>
  <c r="J69" i="457"/>
  <c r="L296" i="457"/>
  <c r="L69" i="457"/>
  <c r="L252" i="457"/>
  <c r="N252" i="457"/>
  <c r="L243" i="457"/>
  <c r="N243" i="457"/>
  <c r="M255" i="457"/>
  <c r="K342" i="457"/>
  <c r="K337" i="457" s="1"/>
  <c r="K243" i="457"/>
  <c r="L245" i="457"/>
  <c r="M247" i="457"/>
  <c r="M284" i="457" s="1"/>
  <c r="K250" i="457"/>
  <c r="K283" i="457" s="1"/>
  <c r="J342" i="457"/>
  <c r="J337" i="457"/>
  <c r="J338" i="457" s="1"/>
  <c r="L342" i="457"/>
  <c r="L337" i="457" s="1"/>
  <c r="L338" i="457" s="1"/>
  <c r="N342" i="457"/>
  <c r="N337" i="457"/>
  <c r="N338" i="457" s="1"/>
  <c r="K245" i="457"/>
  <c r="L247" i="457"/>
  <c r="L279" i="457" s="1"/>
  <c r="N250" i="457"/>
  <c r="N283" i="457" s="1"/>
  <c r="J360" i="457"/>
  <c r="J351" i="457" s="1"/>
  <c r="N360" i="457"/>
  <c r="N351" i="457" s="1"/>
  <c r="N352" i="457" s="1"/>
  <c r="X259" i="457"/>
  <c r="V259" i="457"/>
  <c r="T259" i="457"/>
  <c r="R259" i="457"/>
  <c r="W259" i="457"/>
  <c r="U259" i="457"/>
  <c r="S259" i="457"/>
  <c r="Q259" i="457"/>
  <c r="J203" i="457"/>
  <c r="K201" i="457"/>
  <c r="K199" i="457"/>
  <c r="K200" i="457" s="1"/>
  <c r="J147" i="457"/>
  <c r="K139" i="457"/>
  <c r="K137" i="457"/>
  <c r="J136" i="457"/>
  <c r="K135" i="457"/>
  <c r="J134" i="457"/>
  <c r="K133" i="457"/>
  <c r="J132" i="457"/>
  <c r="J138" i="457" s="1"/>
  <c r="K129" i="457"/>
  <c r="J128" i="457"/>
  <c r="J127" i="457"/>
  <c r="K123" i="457"/>
  <c r="K203" i="457"/>
  <c r="J201" i="457"/>
  <c r="K147" i="457"/>
  <c r="J139" i="457"/>
  <c r="J137" i="457"/>
  <c r="K136" i="457"/>
  <c r="J135" i="457"/>
  <c r="K134" i="457"/>
  <c r="J133" i="457"/>
  <c r="K132" i="457"/>
  <c r="J129" i="457"/>
  <c r="K128" i="457"/>
  <c r="K127" i="457" s="1"/>
  <c r="J123" i="457"/>
  <c r="J122" i="457"/>
  <c r="J121" i="457" s="1"/>
  <c r="K113" i="457"/>
  <c r="J112" i="457"/>
  <c r="J104" i="457"/>
  <c r="K103" i="457"/>
  <c r="K122" i="457"/>
  <c r="K121" i="457" s="1"/>
  <c r="J113" i="457"/>
  <c r="K112" i="457"/>
  <c r="K104" i="457"/>
  <c r="J103" i="457"/>
  <c r="H266" i="457"/>
  <c r="J266" i="457"/>
  <c r="L266" i="457"/>
  <c r="E271" i="457"/>
  <c r="G271" i="457"/>
  <c r="F286" i="457"/>
  <c r="F276" i="457"/>
  <c r="H276" i="457"/>
  <c r="E281" i="457"/>
  <c r="G281" i="457"/>
  <c r="I281" i="457"/>
  <c r="E60" i="457"/>
  <c r="E61" i="457"/>
  <c r="E21" i="457" s="1"/>
  <c r="G60" i="457"/>
  <c r="G61" i="457" s="1"/>
  <c r="K60" i="457"/>
  <c r="K61" i="457" s="1"/>
  <c r="M60" i="457"/>
  <c r="M61" i="457"/>
  <c r="D61" i="457"/>
  <c r="F61" i="457"/>
  <c r="F21" i="457"/>
  <c r="H61" i="457"/>
  <c r="J61" i="457"/>
  <c r="L61" i="457"/>
  <c r="L18" i="457" s="1"/>
  <c r="N61" i="457"/>
  <c r="G223" i="457"/>
  <c r="K223" i="457"/>
  <c r="E266" i="457"/>
  <c r="G266" i="457"/>
  <c r="K266" i="457"/>
  <c r="M266" i="457"/>
  <c r="F271" i="457"/>
  <c r="H271" i="457"/>
  <c r="E286" i="457"/>
  <c r="G286" i="457"/>
  <c r="E276" i="457"/>
  <c r="G276" i="457"/>
  <c r="I276" i="457"/>
  <c r="F281" i="457"/>
  <c r="H281" i="457"/>
  <c r="E189" i="457"/>
  <c r="E196" i="457"/>
  <c r="D184" i="457"/>
  <c r="D182" i="457" s="1"/>
  <c r="D185" i="457" s="1"/>
  <c r="E88" i="457"/>
  <c r="G88" i="457"/>
  <c r="I88" i="457"/>
  <c r="O99" i="457"/>
  <c r="O178" i="457"/>
  <c r="P178" i="457" s="1"/>
  <c r="Q178" i="457" s="1"/>
  <c r="R178" i="457" s="1"/>
  <c r="S178" i="457" s="1"/>
  <c r="T178" i="457" s="1"/>
  <c r="U178" i="457" s="1"/>
  <c r="V178" i="457" s="1"/>
  <c r="W178" i="457" s="1"/>
  <c r="X178" i="457" s="1"/>
  <c r="D223" i="457"/>
  <c r="F223" i="457"/>
  <c r="F225" i="457"/>
  <c r="H223" i="457"/>
  <c r="H225" i="457"/>
  <c r="J223" i="457"/>
  <c r="L223" i="457"/>
  <c r="N223" i="457"/>
  <c r="E284" i="457"/>
  <c r="E279" i="457"/>
  <c r="E274" i="457"/>
  <c r="E269" i="457"/>
  <c r="E264" i="457"/>
  <c r="G284" i="457"/>
  <c r="G279" i="457"/>
  <c r="G274" i="457"/>
  <c r="G269" i="457"/>
  <c r="G264" i="457"/>
  <c r="I284" i="457"/>
  <c r="I279" i="457"/>
  <c r="I274" i="457"/>
  <c r="I269" i="457"/>
  <c r="I264" i="457"/>
  <c r="D162" i="457"/>
  <c r="F162" i="457"/>
  <c r="H162" i="457"/>
  <c r="E163" i="457"/>
  <c r="G163" i="457"/>
  <c r="I163" i="457"/>
  <c r="O248" i="457"/>
  <c r="P248" i="457"/>
  <c r="Q248" i="457" s="1"/>
  <c r="R248" i="457" s="1"/>
  <c r="S248" i="457" s="1"/>
  <c r="T248" i="457" s="1"/>
  <c r="U248" i="457" s="1"/>
  <c r="V248" i="457" s="1"/>
  <c r="W248" i="457" s="1"/>
  <c r="X248" i="457" s="1"/>
  <c r="P224" i="457"/>
  <c r="Q224" i="457" s="1"/>
  <c r="R224" i="457" s="1"/>
  <c r="F284" i="457"/>
  <c r="F279" i="457"/>
  <c r="F274" i="457"/>
  <c r="F269" i="457"/>
  <c r="F264" i="457"/>
  <c r="H269" i="457"/>
  <c r="P215" i="457"/>
  <c r="E236" i="457"/>
  <c r="G236" i="457"/>
  <c r="I236" i="457"/>
  <c r="I38" i="457" s="1"/>
  <c r="D237" i="457"/>
  <c r="F237" i="457"/>
  <c r="H237" i="457"/>
  <c r="E252" i="457"/>
  <c r="G252" i="457"/>
  <c r="I252" i="457"/>
  <c r="M252" i="457"/>
  <c r="D253" i="457"/>
  <c r="F253" i="457"/>
  <c r="H253" i="457"/>
  <c r="J253" i="457"/>
  <c r="N253" i="457"/>
  <c r="F255" i="457"/>
  <c r="F256" i="457" s="1"/>
  <c r="H255" i="457"/>
  <c r="H256" i="457"/>
  <c r="J255" i="457"/>
  <c r="J256" i="457" s="1"/>
  <c r="N255" i="457"/>
  <c r="J339" i="457"/>
  <c r="J320" i="457"/>
  <c r="J353" i="457"/>
  <c r="E253" i="457"/>
  <c r="G253" i="457"/>
  <c r="I253" i="457"/>
  <c r="M253" i="457"/>
  <c r="K360" i="457"/>
  <c r="M360" i="457"/>
  <c r="M351" i="457" s="1"/>
  <c r="M352" i="457" s="1"/>
  <c r="H264" i="457"/>
  <c r="H284" i="457"/>
  <c r="G11" i="457"/>
  <c r="G10" i="457"/>
  <c r="E20" i="457"/>
  <c r="E19" i="457" s="1"/>
  <c r="H279" i="457"/>
  <c r="F11" i="457"/>
  <c r="F10" i="457" s="1"/>
  <c r="F20" i="457"/>
  <c r="F19" i="457" s="1"/>
  <c r="F22" i="457" s="1"/>
  <c r="K89" i="457"/>
  <c r="K88" i="457" s="1"/>
  <c r="I8" i="457"/>
  <c r="I9" i="457" s="1"/>
  <c r="L284" i="457"/>
  <c r="L264" i="457"/>
  <c r="P171" i="457"/>
  <c r="O65" i="457"/>
  <c r="J162" i="457"/>
  <c r="M279" i="457"/>
  <c r="K162" i="457"/>
  <c r="K163" i="457"/>
  <c r="K160" i="457"/>
  <c r="K159" i="457"/>
  <c r="K157" i="457"/>
  <c r="K158" i="457"/>
  <c r="L161" i="457"/>
  <c r="M322" i="457"/>
  <c r="L164" i="457"/>
  <c r="M325" i="457"/>
  <c r="L204" i="457"/>
  <c r="L203" i="457"/>
  <c r="M317" i="457"/>
  <c r="L148" i="457"/>
  <c r="L147" i="457" s="1"/>
  <c r="K298" i="457"/>
  <c r="K70" i="457"/>
  <c r="M323" i="457"/>
  <c r="M324" i="457"/>
  <c r="L298" i="457"/>
  <c r="L70" i="457"/>
  <c r="L274" i="457"/>
  <c r="M269" i="457"/>
  <c r="N256" i="457"/>
  <c r="L269" i="457"/>
  <c r="M264" i="457"/>
  <c r="M274" i="457"/>
  <c r="E18" i="457"/>
  <c r="G18" i="457"/>
  <c r="G38" i="457"/>
  <c r="Q215" i="457"/>
  <c r="H227" i="457"/>
  <c r="H228" i="457"/>
  <c r="H30" i="457" s="1"/>
  <c r="H36" i="457"/>
  <c r="F189" i="457"/>
  <c r="F196" i="457" s="1"/>
  <c r="F184" i="457" s="1"/>
  <c r="F182" i="457" s="1"/>
  <c r="F185" i="457" s="1"/>
  <c r="E184" i="457"/>
  <c r="E182" i="457"/>
  <c r="E185" i="457"/>
  <c r="J88" i="457"/>
  <c r="I256" i="457"/>
  <c r="E38" i="457"/>
  <c r="O100" i="457"/>
  <c r="P99" i="457"/>
  <c r="Q99" i="457" s="1"/>
  <c r="R99" i="457" s="1"/>
  <c r="S99" i="457" s="1"/>
  <c r="T99" i="457" s="1"/>
  <c r="K271" i="457"/>
  <c r="K111" i="457"/>
  <c r="J271" i="457"/>
  <c r="J200" i="457"/>
  <c r="F18" i="457"/>
  <c r="L87" i="457"/>
  <c r="L89" i="457"/>
  <c r="Q171" i="457"/>
  <c r="P65" i="457"/>
  <c r="L134" i="457"/>
  <c r="L128" i="457"/>
  <c r="L127" i="457"/>
  <c r="L137" i="457"/>
  <c r="L133" i="457"/>
  <c r="L123" i="457"/>
  <c r="L112" i="457"/>
  <c r="L113" i="457"/>
  <c r="L136" i="457"/>
  <c r="L132" i="457"/>
  <c r="L139" i="457"/>
  <c r="L135" i="457"/>
  <c r="L138" i="457" s="1"/>
  <c r="L129" i="457"/>
  <c r="L122" i="457"/>
  <c r="L121" i="457"/>
  <c r="L104" i="457"/>
  <c r="L103" i="457"/>
  <c r="L276" i="457" s="1"/>
  <c r="L201" i="457"/>
  <c r="L199" i="457"/>
  <c r="L158" i="457"/>
  <c r="L159" i="457"/>
  <c r="L157" i="457"/>
  <c r="L160" i="457"/>
  <c r="N324" i="457"/>
  <c r="N323" i="457"/>
  <c r="M298" i="457"/>
  <c r="M70" i="457"/>
  <c r="N317" i="457"/>
  <c r="N148" i="457"/>
  <c r="M148" i="457"/>
  <c r="M147" i="457"/>
  <c r="N325" i="457"/>
  <c r="N204" i="457"/>
  <c r="M204" i="457"/>
  <c r="M203" i="457"/>
  <c r="N322" i="457"/>
  <c r="N296" i="457"/>
  <c r="N69" i="457"/>
  <c r="M164" i="457"/>
  <c r="M161" i="457"/>
  <c r="M296" i="457"/>
  <c r="M69" i="457"/>
  <c r="M18" i="457"/>
  <c r="J144" i="457"/>
  <c r="J142" i="457"/>
  <c r="F25" i="457"/>
  <c r="G25" i="457"/>
  <c r="G22" i="457"/>
  <c r="G24" i="457" s="1"/>
  <c r="G42" i="457"/>
  <c r="G189" i="457"/>
  <c r="G196" i="457" s="1"/>
  <c r="R215" i="457"/>
  <c r="N203" i="457"/>
  <c r="N87" i="457"/>
  <c r="N271" i="457" s="1"/>
  <c r="N89" i="457"/>
  <c r="M87" i="457"/>
  <c r="M89" i="457"/>
  <c r="N298" i="457"/>
  <c r="N70" i="457"/>
  <c r="R171" i="457"/>
  <c r="Q65" i="457"/>
  <c r="M328" i="457"/>
  <c r="M318" i="457" s="1"/>
  <c r="M319" i="457" s="1"/>
  <c r="M201" i="457"/>
  <c r="M199" i="457"/>
  <c r="M139" i="457"/>
  <c r="M137" i="457"/>
  <c r="M133" i="457"/>
  <c r="M123" i="457"/>
  <c r="M136" i="457"/>
  <c r="M132" i="457"/>
  <c r="M112" i="457"/>
  <c r="M104" i="457"/>
  <c r="M135" i="457"/>
  <c r="M129" i="457"/>
  <c r="M134" i="457"/>
  <c r="M128" i="457"/>
  <c r="M127" i="457" s="1"/>
  <c r="M113" i="457"/>
  <c r="M103" i="457"/>
  <c r="M122" i="457"/>
  <c r="M121" i="457" s="1"/>
  <c r="K144" i="457"/>
  <c r="M159" i="457"/>
  <c r="M157" i="457"/>
  <c r="M160" i="457"/>
  <c r="M158" i="457"/>
  <c r="N161" i="457"/>
  <c r="N164" i="457"/>
  <c r="N199" i="457"/>
  <c r="N200" i="457" s="1"/>
  <c r="N201" i="457"/>
  <c r="N136" i="457"/>
  <c r="N132" i="457"/>
  <c r="O132" i="457" s="1"/>
  <c r="P132" i="457" s="1"/>
  <c r="Q132" i="457" s="1"/>
  <c r="R132" i="457" s="1"/>
  <c r="N139" i="457"/>
  <c r="N135" i="457"/>
  <c r="N129" i="457"/>
  <c r="N122" i="457"/>
  <c r="N121" i="457" s="1"/>
  <c r="O121" i="457" s="1"/>
  <c r="N104" i="457"/>
  <c r="N103" i="457"/>
  <c r="N134" i="457"/>
  <c r="N128" i="457"/>
  <c r="N127" i="457" s="1"/>
  <c r="O127" i="457" s="1"/>
  <c r="P127" i="457" s="1"/>
  <c r="Q127" i="457" s="1"/>
  <c r="R127" i="457" s="1"/>
  <c r="S127" i="457" s="1"/>
  <c r="T127" i="457" s="1"/>
  <c r="U127" i="457" s="1"/>
  <c r="V127" i="457" s="1"/>
  <c r="W127" i="457" s="1"/>
  <c r="X127" i="457" s="1"/>
  <c r="N137" i="457"/>
  <c r="N133" i="457"/>
  <c r="O133" i="457" s="1"/>
  <c r="P133" i="457"/>
  <c r="N123" i="457"/>
  <c r="N112" i="457"/>
  <c r="N113" i="457"/>
  <c r="L200" i="457"/>
  <c r="L271" i="457"/>
  <c r="L281" i="457"/>
  <c r="K142" i="457"/>
  <c r="J232" i="457"/>
  <c r="J234" i="457"/>
  <c r="S224" i="457"/>
  <c r="T224" i="457" s="1"/>
  <c r="S171" i="457"/>
  <c r="R65" i="457"/>
  <c r="N111" i="457"/>
  <c r="O111" i="457" s="1"/>
  <c r="P111" i="457" s="1"/>
  <c r="Q111" i="457" s="1"/>
  <c r="R111" i="457" s="1"/>
  <c r="S111" i="457" s="1"/>
  <c r="T111" i="457" s="1"/>
  <c r="U111" i="457" s="1"/>
  <c r="V111" i="457" s="1"/>
  <c r="W111" i="457" s="1"/>
  <c r="X111" i="457" s="1"/>
  <c r="N281" i="457"/>
  <c r="M88" i="457"/>
  <c r="O135" i="457"/>
  <c r="P135" i="457" s="1"/>
  <c r="Q135" i="457" s="1"/>
  <c r="R135" i="457" s="1"/>
  <c r="S135" i="457" s="1"/>
  <c r="T135" i="457" s="1"/>
  <c r="U135" i="457" s="1"/>
  <c r="V135" i="457" s="1"/>
  <c r="W135" i="457" s="1"/>
  <c r="X135" i="457" s="1"/>
  <c r="O103" i="457"/>
  <c r="P103" i="457" s="1"/>
  <c r="Q103" i="457" s="1"/>
  <c r="N158" i="457"/>
  <c r="N157" i="457"/>
  <c r="M271" i="457"/>
  <c r="O137" i="457"/>
  <c r="P137" i="457" s="1"/>
  <c r="Q137" i="457" s="1"/>
  <c r="R137" i="457" s="1"/>
  <c r="S137" i="457" s="1"/>
  <c r="T137" i="457" s="1"/>
  <c r="U137" i="457" s="1"/>
  <c r="V137" i="457" s="1"/>
  <c r="W137" i="457"/>
  <c r="X137" i="457" s="1"/>
  <c r="O136" i="457"/>
  <c r="P136" i="457" s="1"/>
  <c r="Q136" i="457" s="1"/>
  <c r="R136" i="457" s="1"/>
  <c r="S136" i="457" s="1"/>
  <c r="T136" i="457" s="1"/>
  <c r="U136" i="457" s="1"/>
  <c r="V136" i="457" s="1"/>
  <c r="W136" i="457" s="1"/>
  <c r="X136" i="457" s="1"/>
  <c r="J35" i="457"/>
  <c r="J237" i="457"/>
  <c r="K234" i="457"/>
  <c r="K232" i="457"/>
  <c r="L144" i="457"/>
  <c r="L145" i="457" s="1"/>
  <c r="L71" i="457" s="1"/>
  <c r="L142" i="457"/>
  <c r="T171" i="457"/>
  <c r="S65" i="457"/>
  <c r="O276" i="457"/>
  <c r="K237" i="457"/>
  <c r="K224" i="457"/>
  <c r="K225" i="457" s="1"/>
  <c r="K36" i="457" s="1"/>
  <c r="K35" i="457"/>
  <c r="K236" i="457"/>
  <c r="K38" i="457"/>
  <c r="K233" i="457"/>
  <c r="K29" i="457"/>
  <c r="U224" i="457"/>
  <c r="P276" i="457"/>
  <c r="M144" i="457"/>
  <c r="M145" i="457" s="1"/>
  <c r="M71" i="457" s="1"/>
  <c r="M72" i="457" s="1"/>
  <c r="M142" i="457"/>
  <c r="L232" i="457"/>
  <c r="L29" i="457" s="1"/>
  <c r="L234" i="457"/>
  <c r="K227" i="457"/>
  <c r="K228" i="457"/>
  <c r="K30" i="457" s="1"/>
  <c r="U99" i="457"/>
  <c r="L224" i="457"/>
  <c r="L225" i="457" s="1"/>
  <c r="L237" i="457"/>
  <c r="L143" i="457"/>
  <c r="L67" i="457" s="1"/>
  <c r="L233" i="457"/>
  <c r="L72" i="457"/>
  <c r="V99" i="457"/>
  <c r="W99" i="457" s="1"/>
  <c r="X99" i="457" s="1"/>
  <c r="M234" i="457"/>
  <c r="M232" i="457"/>
  <c r="N144" i="457"/>
  <c r="N142" i="457"/>
  <c r="L36" i="457"/>
  <c r="N232" i="457"/>
  <c r="N234" i="457"/>
  <c r="M237" i="457"/>
  <c r="M224" i="457"/>
  <c r="M35" i="457"/>
  <c r="M236" i="457"/>
  <c r="M143" i="457"/>
  <c r="M67" i="457"/>
  <c r="M68" i="457"/>
  <c r="M233" i="457"/>
  <c r="N29" i="457"/>
  <c r="N224" i="457"/>
  <c r="N225" i="457" s="1"/>
  <c r="N36" i="457" s="1"/>
  <c r="N237" i="457"/>
  <c r="N227" i="457"/>
  <c r="N228" i="457"/>
  <c r="N30" i="457"/>
  <c r="E215" i="406"/>
  <c r="F215" i="406"/>
  <c r="G215" i="406"/>
  <c r="H215" i="406"/>
  <c r="I215" i="406"/>
  <c r="J215" i="406"/>
  <c r="K215" i="406"/>
  <c r="L215" i="406"/>
  <c r="M215" i="406"/>
  <c r="N215" i="406"/>
  <c r="O215" i="406"/>
  <c r="P215" i="406"/>
  <c r="Q215" i="406"/>
  <c r="R215" i="406"/>
  <c r="S215" i="406"/>
  <c r="T215" i="406"/>
  <c r="U215" i="406"/>
  <c r="V215" i="406"/>
  <c r="W215" i="406"/>
  <c r="X215" i="406"/>
  <c r="Y215" i="406"/>
  <c r="Z215" i="406"/>
  <c r="AA215" i="406"/>
  <c r="AB215" i="406"/>
  <c r="AC215" i="406"/>
  <c r="AD215" i="406"/>
  <c r="AE215" i="406"/>
  <c r="AF215" i="406"/>
  <c r="AG215" i="406"/>
  <c r="AH215" i="406"/>
  <c r="AI215" i="406"/>
  <c r="AJ215" i="406"/>
  <c r="AK215" i="406"/>
  <c r="AL215" i="406"/>
  <c r="AM215" i="406"/>
  <c r="AN215" i="406"/>
  <c r="AO215" i="406"/>
  <c r="AP215" i="406"/>
  <c r="AQ215" i="406"/>
  <c r="AR215" i="406"/>
  <c r="AS215" i="406"/>
  <c r="AT215" i="406"/>
  <c r="AU215" i="406"/>
  <c r="AV215" i="406"/>
  <c r="AW215" i="406"/>
  <c r="AX215" i="406"/>
  <c r="AY215" i="406"/>
  <c r="AZ215" i="406"/>
  <c r="BA215" i="406"/>
  <c r="BB215" i="406"/>
  <c r="BC215" i="406"/>
  <c r="BD215" i="406"/>
  <c r="BE215" i="406"/>
  <c r="BF215" i="406"/>
  <c r="E216" i="406"/>
  <c r="F216" i="406"/>
  <c r="G216" i="406"/>
  <c r="H216" i="406"/>
  <c r="I216" i="406"/>
  <c r="J216" i="406"/>
  <c r="K216" i="406"/>
  <c r="L216" i="406"/>
  <c r="M216" i="406"/>
  <c r="N216" i="406"/>
  <c r="O216" i="406"/>
  <c r="P216" i="406"/>
  <c r="Q216" i="406"/>
  <c r="R216" i="406"/>
  <c r="S216" i="406"/>
  <c r="T216" i="406"/>
  <c r="U216" i="406"/>
  <c r="V216" i="406"/>
  <c r="W216" i="406"/>
  <c r="X216" i="406"/>
  <c r="Y216" i="406"/>
  <c r="Z216" i="406"/>
  <c r="AA216" i="406"/>
  <c r="AB216" i="406"/>
  <c r="AC216" i="406"/>
  <c r="AD216" i="406"/>
  <c r="AE216" i="406"/>
  <c r="AF216" i="406"/>
  <c r="AG216" i="406"/>
  <c r="AH216" i="406"/>
  <c r="AI216" i="406"/>
  <c r="AJ216" i="406"/>
  <c r="AK216" i="406"/>
  <c r="AL216" i="406"/>
  <c r="AM216" i="406"/>
  <c r="AN216" i="406"/>
  <c r="AO216" i="406"/>
  <c r="AP216" i="406"/>
  <c r="AQ216" i="406"/>
  <c r="AR216" i="406"/>
  <c r="AS216" i="406"/>
  <c r="AT216" i="406"/>
  <c r="AU216" i="406"/>
  <c r="AV216" i="406"/>
  <c r="AW216" i="406"/>
  <c r="AX216" i="406"/>
  <c r="AY216" i="406"/>
  <c r="AZ216" i="406"/>
  <c r="BA216" i="406"/>
  <c r="BB216" i="406"/>
  <c r="BC216" i="406"/>
  <c r="BD216" i="406"/>
  <c r="BE216" i="406"/>
  <c r="BF216" i="406"/>
  <c r="E217" i="406"/>
  <c r="F217" i="406"/>
  <c r="G217" i="406"/>
  <c r="H217" i="406"/>
  <c r="I217" i="406"/>
  <c r="J217" i="406"/>
  <c r="K217" i="406"/>
  <c r="L217" i="406"/>
  <c r="M217" i="406"/>
  <c r="N217" i="406"/>
  <c r="O217" i="406"/>
  <c r="P217" i="406"/>
  <c r="Q217" i="406"/>
  <c r="R217" i="406"/>
  <c r="S217" i="406"/>
  <c r="T217" i="406"/>
  <c r="U217" i="406"/>
  <c r="V217" i="406"/>
  <c r="W217" i="406"/>
  <c r="X217" i="406"/>
  <c r="Y217" i="406"/>
  <c r="Z217" i="406"/>
  <c r="AA217" i="406"/>
  <c r="AB217" i="406"/>
  <c r="AC217" i="406"/>
  <c r="AD217" i="406"/>
  <c r="AE217" i="406"/>
  <c r="AF217" i="406"/>
  <c r="AG217" i="406"/>
  <c r="AH217" i="406"/>
  <c r="AI217" i="406"/>
  <c r="AJ217" i="406"/>
  <c r="AK217" i="406"/>
  <c r="AL217" i="406"/>
  <c r="AM217" i="406"/>
  <c r="AN217" i="406"/>
  <c r="AO217" i="406"/>
  <c r="AP217" i="406"/>
  <c r="AQ217" i="406"/>
  <c r="AR217" i="406"/>
  <c r="AS217" i="406"/>
  <c r="AT217" i="406"/>
  <c r="AU217" i="406"/>
  <c r="AV217" i="406"/>
  <c r="AW217" i="406"/>
  <c r="AX217" i="406"/>
  <c r="AY217" i="406"/>
  <c r="AZ217" i="406"/>
  <c r="BA217" i="406"/>
  <c r="BB217" i="406"/>
  <c r="BC217" i="406"/>
  <c r="BD217" i="406"/>
  <c r="BE217" i="406"/>
  <c r="BF217" i="406"/>
  <c r="E218" i="406"/>
  <c r="F218" i="406"/>
  <c r="G218" i="406"/>
  <c r="H218" i="406"/>
  <c r="I218" i="406"/>
  <c r="J218" i="406"/>
  <c r="K218" i="406"/>
  <c r="L218" i="406"/>
  <c r="M218" i="406"/>
  <c r="N218" i="406"/>
  <c r="O218" i="406"/>
  <c r="P218" i="406"/>
  <c r="Q218" i="406"/>
  <c r="R218" i="406"/>
  <c r="S218" i="406"/>
  <c r="T218" i="406"/>
  <c r="U218" i="406"/>
  <c r="V218" i="406"/>
  <c r="W218" i="406"/>
  <c r="X218" i="406"/>
  <c r="Y218" i="406"/>
  <c r="Z218" i="406"/>
  <c r="AA218" i="406"/>
  <c r="AB218" i="406"/>
  <c r="AC218" i="406"/>
  <c r="AD218" i="406"/>
  <c r="AE218" i="406"/>
  <c r="AF218" i="406"/>
  <c r="AG218" i="406"/>
  <c r="AH218" i="406"/>
  <c r="AI218" i="406"/>
  <c r="AJ218" i="406"/>
  <c r="AK218" i="406"/>
  <c r="AL218" i="406"/>
  <c r="AM218" i="406"/>
  <c r="AN218" i="406"/>
  <c r="AO218" i="406"/>
  <c r="AP218" i="406"/>
  <c r="AQ218" i="406"/>
  <c r="AR218" i="406"/>
  <c r="AS218" i="406"/>
  <c r="AT218" i="406"/>
  <c r="AU218" i="406"/>
  <c r="AV218" i="406"/>
  <c r="AW218" i="406"/>
  <c r="AX218" i="406"/>
  <c r="AY218" i="406"/>
  <c r="AZ218" i="406"/>
  <c r="BA218" i="406"/>
  <c r="BB218" i="406"/>
  <c r="BC218" i="406"/>
  <c r="BD218" i="406"/>
  <c r="BE218" i="406"/>
  <c r="BF218" i="406"/>
  <c r="E219" i="406"/>
  <c r="F219" i="406"/>
  <c r="G219" i="406"/>
  <c r="H219" i="406"/>
  <c r="I219" i="406"/>
  <c r="J219" i="406"/>
  <c r="K219" i="406"/>
  <c r="L219" i="406"/>
  <c r="M219" i="406"/>
  <c r="N219" i="406"/>
  <c r="O219" i="406"/>
  <c r="P219" i="406"/>
  <c r="Q219" i="406"/>
  <c r="R219" i="406"/>
  <c r="S219" i="406"/>
  <c r="T219" i="406"/>
  <c r="U219" i="406"/>
  <c r="V219" i="406"/>
  <c r="W219" i="406"/>
  <c r="X219" i="406"/>
  <c r="Y219" i="406"/>
  <c r="Z219" i="406"/>
  <c r="AA219" i="406"/>
  <c r="AB219" i="406"/>
  <c r="AC219" i="406"/>
  <c r="AD219" i="406"/>
  <c r="AE219" i="406"/>
  <c r="AF219" i="406"/>
  <c r="AG219" i="406"/>
  <c r="AH219" i="406"/>
  <c r="AI219" i="406"/>
  <c r="AJ219" i="406"/>
  <c r="AK219" i="406"/>
  <c r="AL219" i="406"/>
  <c r="AM219" i="406"/>
  <c r="AN219" i="406"/>
  <c r="AO219" i="406"/>
  <c r="AP219" i="406"/>
  <c r="AQ219" i="406"/>
  <c r="AR219" i="406"/>
  <c r="AS219" i="406"/>
  <c r="AT219" i="406"/>
  <c r="AU219" i="406"/>
  <c r="AV219" i="406"/>
  <c r="AW219" i="406"/>
  <c r="AX219" i="406"/>
  <c r="AY219" i="406"/>
  <c r="AZ219" i="406"/>
  <c r="BA219" i="406"/>
  <c r="BB219" i="406"/>
  <c r="BC219" i="406"/>
  <c r="BD219" i="406"/>
  <c r="BE219" i="406"/>
  <c r="BF219" i="406"/>
  <c r="E220" i="406"/>
  <c r="F220" i="406"/>
  <c r="G220" i="406"/>
  <c r="H220" i="406"/>
  <c r="I220" i="406"/>
  <c r="J220" i="406"/>
  <c r="K220" i="406"/>
  <c r="L220" i="406"/>
  <c r="M220" i="406"/>
  <c r="N220" i="406"/>
  <c r="O220" i="406"/>
  <c r="P220" i="406"/>
  <c r="Q220" i="406"/>
  <c r="R220" i="406"/>
  <c r="S220" i="406"/>
  <c r="T220" i="406"/>
  <c r="U220" i="406"/>
  <c r="V220" i="406"/>
  <c r="W220" i="406"/>
  <c r="X220" i="406"/>
  <c r="Y220" i="406"/>
  <c r="Z220" i="406"/>
  <c r="AA220" i="406"/>
  <c r="AB220" i="406"/>
  <c r="AC220" i="406"/>
  <c r="AD220" i="406"/>
  <c r="AE220" i="406"/>
  <c r="AF220" i="406"/>
  <c r="AG220" i="406"/>
  <c r="AH220" i="406"/>
  <c r="AI220" i="406"/>
  <c r="AJ220" i="406"/>
  <c r="AK220" i="406"/>
  <c r="AL220" i="406"/>
  <c r="AM220" i="406"/>
  <c r="AN220" i="406"/>
  <c r="AO220" i="406"/>
  <c r="AP220" i="406"/>
  <c r="AQ220" i="406"/>
  <c r="AR220" i="406"/>
  <c r="AS220" i="406"/>
  <c r="AT220" i="406"/>
  <c r="AU220" i="406"/>
  <c r="AV220" i="406"/>
  <c r="AW220" i="406"/>
  <c r="AX220" i="406"/>
  <c r="AY220" i="406"/>
  <c r="AZ220" i="406"/>
  <c r="BA220" i="406"/>
  <c r="BB220" i="406"/>
  <c r="BC220" i="406"/>
  <c r="BD220" i="406"/>
  <c r="BE220" i="406"/>
  <c r="BF220" i="406"/>
  <c r="E221" i="406"/>
  <c r="F221" i="406"/>
  <c r="G221" i="406"/>
  <c r="H221" i="406"/>
  <c r="I221" i="406"/>
  <c r="J221" i="406"/>
  <c r="K221" i="406"/>
  <c r="L221" i="406"/>
  <c r="M221" i="406"/>
  <c r="N221" i="406"/>
  <c r="O221" i="406"/>
  <c r="P221" i="406"/>
  <c r="Q221" i="406"/>
  <c r="R221" i="406"/>
  <c r="S221" i="406"/>
  <c r="T221" i="406"/>
  <c r="U221" i="406"/>
  <c r="V221" i="406"/>
  <c r="W221" i="406"/>
  <c r="X221" i="406"/>
  <c r="Y221" i="406"/>
  <c r="Z221" i="406"/>
  <c r="AA221" i="406"/>
  <c r="AB221" i="406"/>
  <c r="AC221" i="406"/>
  <c r="AD221" i="406"/>
  <c r="AE221" i="406"/>
  <c r="AF221" i="406"/>
  <c r="AG221" i="406"/>
  <c r="AH221" i="406"/>
  <c r="AI221" i="406"/>
  <c r="AJ221" i="406"/>
  <c r="AK221" i="406"/>
  <c r="AL221" i="406"/>
  <c r="AM221" i="406"/>
  <c r="AN221" i="406"/>
  <c r="AO221" i="406"/>
  <c r="AP221" i="406"/>
  <c r="AQ221" i="406"/>
  <c r="AR221" i="406"/>
  <c r="AS221" i="406"/>
  <c r="AT221" i="406"/>
  <c r="AU221" i="406"/>
  <c r="AV221" i="406"/>
  <c r="AW221" i="406"/>
  <c r="AX221" i="406"/>
  <c r="AY221" i="406"/>
  <c r="AZ221" i="406"/>
  <c r="BA221" i="406"/>
  <c r="BB221" i="406"/>
  <c r="BC221" i="406"/>
  <c r="BD221" i="406"/>
  <c r="BE221" i="406"/>
  <c r="BF221" i="406"/>
  <c r="E222" i="406"/>
  <c r="F222" i="406"/>
  <c r="G222" i="406"/>
  <c r="H222" i="406"/>
  <c r="I222" i="406"/>
  <c r="J222" i="406"/>
  <c r="K222" i="406"/>
  <c r="L222" i="406"/>
  <c r="M222" i="406"/>
  <c r="N222" i="406"/>
  <c r="O222" i="406"/>
  <c r="P222" i="406"/>
  <c r="Q222" i="406"/>
  <c r="R222" i="406"/>
  <c r="S222" i="406"/>
  <c r="T222" i="406"/>
  <c r="U222" i="406"/>
  <c r="V222" i="406"/>
  <c r="W222" i="406"/>
  <c r="X222" i="406"/>
  <c r="Y222" i="406"/>
  <c r="Z222" i="406"/>
  <c r="AA222" i="406"/>
  <c r="AB222" i="406"/>
  <c r="AC222" i="406"/>
  <c r="AD222" i="406"/>
  <c r="AE222" i="406"/>
  <c r="AF222" i="406"/>
  <c r="AG222" i="406"/>
  <c r="AH222" i="406"/>
  <c r="AI222" i="406"/>
  <c r="AJ222" i="406"/>
  <c r="AK222" i="406"/>
  <c r="AL222" i="406"/>
  <c r="AM222" i="406"/>
  <c r="AN222" i="406"/>
  <c r="AO222" i="406"/>
  <c r="AP222" i="406"/>
  <c r="AQ222" i="406"/>
  <c r="AR222" i="406"/>
  <c r="AS222" i="406"/>
  <c r="AT222" i="406"/>
  <c r="AU222" i="406"/>
  <c r="AV222" i="406"/>
  <c r="AW222" i="406"/>
  <c r="AX222" i="406"/>
  <c r="AY222" i="406"/>
  <c r="AZ222" i="406"/>
  <c r="BA222" i="406"/>
  <c r="BB222" i="406"/>
  <c r="BC222" i="406"/>
  <c r="BD222" i="406"/>
  <c r="BE222" i="406"/>
  <c r="BF222" i="406"/>
  <c r="E223" i="406"/>
  <c r="F223" i="406"/>
  <c r="G223" i="406"/>
  <c r="H223" i="406"/>
  <c r="I223" i="406"/>
  <c r="J223" i="406"/>
  <c r="K223" i="406"/>
  <c r="L223" i="406"/>
  <c r="M223" i="406"/>
  <c r="N223" i="406"/>
  <c r="O223" i="406"/>
  <c r="P223" i="406"/>
  <c r="Q223" i="406"/>
  <c r="R223" i="406"/>
  <c r="S223" i="406"/>
  <c r="T223" i="406"/>
  <c r="U223" i="406"/>
  <c r="V223" i="406"/>
  <c r="W223" i="406"/>
  <c r="X223" i="406"/>
  <c r="Y223" i="406"/>
  <c r="Z223" i="406"/>
  <c r="AA223" i="406"/>
  <c r="AB223" i="406"/>
  <c r="AC223" i="406"/>
  <c r="AD223" i="406"/>
  <c r="AE223" i="406"/>
  <c r="AF223" i="406"/>
  <c r="AG223" i="406"/>
  <c r="AH223" i="406"/>
  <c r="AI223" i="406"/>
  <c r="AJ223" i="406"/>
  <c r="AK223" i="406"/>
  <c r="AL223" i="406"/>
  <c r="AM223" i="406"/>
  <c r="AN223" i="406"/>
  <c r="AO223" i="406"/>
  <c r="AP223" i="406"/>
  <c r="AQ223" i="406"/>
  <c r="AR223" i="406"/>
  <c r="AS223" i="406"/>
  <c r="AT223" i="406"/>
  <c r="AU223" i="406"/>
  <c r="AV223" i="406"/>
  <c r="AW223" i="406"/>
  <c r="AX223" i="406"/>
  <c r="AY223" i="406"/>
  <c r="AZ223" i="406"/>
  <c r="BA223" i="406"/>
  <c r="BB223" i="406"/>
  <c r="BC223" i="406"/>
  <c r="BD223" i="406"/>
  <c r="BE223" i="406"/>
  <c r="BF223" i="406"/>
  <c r="E224" i="406"/>
  <c r="F224" i="406"/>
  <c r="G224" i="406"/>
  <c r="H224" i="406"/>
  <c r="I224" i="406"/>
  <c r="J224" i="406"/>
  <c r="K224" i="406"/>
  <c r="L224" i="406"/>
  <c r="M224" i="406"/>
  <c r="N224" i="406"/>
  <c r="O224" i="406"/>
  <c r="P224" i="406"/>
  <c r="Q224" i="406"/>
  <c r="R224" i="406"/>
  <c r="S224" i="406"/>
  <c r="T224" i="406"/>
  <c r="U224" i="406"/>
  <c r="V224" i="406"/>
  <c r="W224" i="406"/>
  <c r="X224" i="406"/>
  <c r="Y224" i="406"/>
  <c r="Z224" i="406"/>
  <c r="AA224" i="406"/>
  <c r="AB224" i="406"/>
  <c r="AC224" i="406"/>
  <c r="AD224" i="406"/>
  <c r="AE224" i="406"/>
  <c r="AF224" i="406"/>
  <c r="AG224" i="406"/>
  <c r="AH224" i="406"/>
  <c r="AI224" i="406"/>
  <c r="AJ224" i="406"/>
  <c r="AK224" i="406"/>
  <c r="AL224" i="406"/>
  <c r="AM224" i="406"/>
  <c r="AN224" i="406"/>
  <c r="AO224" i="406"/>
  <c r="AP224" i="406"/>
  <c r="AQ224" i="406"/>
  <c r="AR224" i="406"/>
  <c r="AS224" i="406"/>
  <c r="AT224" i="406"/>
  <c r="AU224" i="406"/>
  <c r="AV224" i="406"/>
  <c r="AW224" i="406"/>
  <c r="AX224" i="406"/>
  <c r="AY224" i="406"/>
  <c r="AZ224" i="406"/>
  <c r="BA224" i="406"/>
  <c r="BB224" i="406"/>
  <c r="BC224" i="406"/>
  <c r="BD224" i="406"/>
  <c r="BE224" i="406"/>
  <c r="BF224" i="406"/>
  <c r="E225" i="406"/>
  <c r="F225" i="406"/>
  <c r="G225" i="406"/>
  <c r="H225" i="406"/>
  <c r="I225" i="406"/>
  <c r="J225" i="406"/>
  <c r="K225" i="406"/>
  <c r="L225" i="406"/>
  <c r="M225" i="406"/>
  <c r="N225" i="406"/>
  <c r="O225" i="406"/>
  <c r="P225" i="406"/>
  <c r="Q225" i="406"/>
  <c r="R225" i="406"/>
  <c r="S225" i="406"/>
  <c r="T225" i="406"/>
  <c r="U225" i="406"/>
  <c r="V225" i="406"/>
  <c r="W225" i="406"/>
  <c r="X225" i="406"/>
  <c r="Y225" i="406"/>
  <c r="Z225" i="406"/>
  <c r="AA225" i="406"/>
  <c r="AB225" i="406"/>
  <c r="AC225" i="406"/>
  <c r="AD225" i="406"/>
  <c r="AE225" i="406"/>
  <c r="AF225" i="406"/>
  <c r="AG225" i="406"/>
  <c r="AH225" i="406"/>
  <c r="AI225" i="406"/>
  <c r="AJ225" i="406"/>
  <c r="AK225" i="406"/>
  <c r="AL225" i="406"/>
  <c r="AM225" i="406"/>
  <c r="AN225" i="406"/>
  <c r="AO225" i="406"/>
  <c r="AP225" i="406"/>
  <c r="AQ225" i="406"/>
  <c r="AR225" i="406"/>
  <c r="AS225" i="406"/>
  <c r="AT225" i="406"/>
  <c r="AU225" i="406"/>
  <c r="AV225" i="406"/>
  <c r="AW225" i="406"/>
  <c r="AX225" i="406"/>
  <c r="AY225" i="406"/>
  <c r="AZ225" i="406"/>
  <c r="BA225" i="406"/>
  <c r="BB225" i="406"/>
  <c r="BC225" i="406"/>
  <c r="BD225" i="406"/>
  <c r="BE225" i="406"/>
  <c r="BF225" i="406"/>
  <c r="E203" i="406"/>
  <c r="F203" i="406"/>
  <c r="G203" i="406"/>
  <c r="H203" i="406"/>
  <c r="I203" i="406"/>
  <c r="J203" i="406"/>
  <c r="K203" i="406"/>
  <c r="L203" i="406"/>
  <c r="M203" i="406"/>
  <c r="N203" i="406"/>
  <c r="O203" i="406"/>
  <c r="P203" i="406"/>
  <c r="Q203" i="406"/>
  <c r="R203" i="406"/>
  <c r="S203" i="406"/>
  <c r="T203" i="406"/>
  <c r="U203" i="406"/>
  <c r="V203" i="406"/>
  <c r="W203" i="406"/>
  <c r="X203" i="406"/>
  <c r="Y203" i="406"/>
  <c r="Z203" i="406"/>
  <c r="AA203" i="406"/>
  <c r="AB203" i="406"/>
  <c r="AC203" i="406"/>
  <c r="AD203" i="406"/>
  <c r="AE203" i="406"/>
  <c r="AF203" i="406"/>
  <c r="AG203" i="406"/>
  <c r="AH203" i="406"/>
  <c r="AI203" i="406"/>
  <c r="AJ203" i="406"/>
  <c r="AK203" i="406"/>
  <c r="AL203" i="406"/>
  <c r="AM203" i="406"/>
  <c r="AN203" i="406"/>
  <c r="AO203" i="406"/>
  <c r="AP203" i="406"/>
  <c r="AQ203" i="406"/>
  <c r="AR203" i="406"/>
  <c r="AS203" i="406"/>
  <c r="AT203" i="406"/>
  <c r="AU203" i="406"/>
  <c r="AV203" i="406"/>
  <c r="AW203" i="406"/>
  <c r="AX203" i="406"/>
  <c r="AY203" i="406"/>
  <c r="AZ203" i="406"/>
  <c r="BA203" i="406"/>
  <c r="BB203" i="406"/>
  <c r="BC203" i="406"/>
  <c r="BD203" i="406"/>
  <c r="BE203" i="406"/>
  <c r="BF203" i="406"/>
  <c r="E204" i="406"/>
  <c r="F204" i="406"/>
  <c r="G204" i="406"/>
  <c r="H204" i="406"/>
  <c r="I204" i="406"/>
  <c r="J204" i="406"/>
  <c r="K204" i="406"/>
  <c r="L204" i="406"/>
  <c r="M204" i="406"/>
  <c r="N204" i="406"/>
  <c r="O204" i="406"/>
  <c r="P204" i="406"/>
  <c r="Q204" i="406"/>
  <c r="R204" i="406"/>
  <c r="S204" i="406"/>
  <c r="T204" i="406"/>
  <c r="U204" i="406"/>
  <c r="V204" i="406"/>
  <c r="W204" i="406"/>
  <c r="X204" i="406"/>
  <c r="Y204" i="406"/>
  <c r="Z204" i="406"/>
  <c r="AA204" i="406"/>
  <c r="AB204" i="406"/>
  <c r="AC204" i="406"/>
  <c r="AD204" i="406"/>
  <c r="AE204" i="406"/>
  <c r="AF204" i="406"/>
  <c r="AG204" i="406"/>
  <c r="AH204" i="406"/>
  <c r="AI204" i="406"/>
  <c r="AJ204" i="406"/>
  <c r="AK204" i="406"/>
  <c r="AL204" i="406"/>
  <c r="AM204" i="406"/>
  <c r="AN204" i="406"/>
  <c r="AO204" i="406"/>
  <c r="AP204" i="406"/>
  <c r="AQ204" i="406"/>
  <c r="AR204" i="406"/>
  <c r="AS204" i="406"/>
  <c r="AT204" i="406"/>
  <c r="AU204" i="406"/>
  <c r="AV204" i="406"/>
  <c r="AW204" i="406"/>
  <c r="AX204" i="406"/>
  <c r="AY204" i="406"/>
  <c r="AZ204" i="406"/>
  <c r="BA204" i="406"/>
  <c r="BB204" i="406"/>
  <c r="BC204" i="406"/>
  <c r="BD204" i="406"/>
  <c r="BE204" i="406"/>
  <c r="BF204" i="406"/>
  <c r="E205" i="406"/>
  <c r="F205" i="406"/>
  <c r="G205" i="406"/>
  <c r="H205" i="406"/>
  <c r="I205" i="406"/>
  <c r="J205" i="406"/>
  <c r="K205" i="406"/>
  <c r="L205" i="406"/>
  <c r="M205" i="406"/>
  <c r="N205" i="406"/>
  <c r="O205" i="406"/>
  <c r="P205" i="406"/>
  <c r="Q205" i="406"/>
  <c r="R205" i="406"/>
  <c r="S205" i="406"/>
  <c r="T205" i="406"/>
  <c r="U205" i="406"/>
  <c r="V205" i="406"/>
  <c r="W205" i="406"/>
  <c r="X205" i="406"/>
  <c r="Y205" i="406"/>
  <c r="Z205" i="406"/>
  <c r="AA205" i="406"/>
  <c r="AB205" i="406"/>
  <c r="AC205" i="406"/>
  <c r="AD205" i="406"/>
  <c r="AE205" i="406"/>
  <c r="AF205" i="406"/>
  <c r="AG205" i="406"/>
  <c r="AH205" i="406"/>
  <c r="AI205" i="406"/>
  <c r="AJ205" i="406"/>
  <c r="AK205" i="406"/>
  <c r="AL205" i="406"/>
  <c r="AM205" i="406"/>
  <c r="AN205" i="406"/>
  <c r="AO205" i="406"/>
  <c r="AP205" i="406"/>
  <c r="AQ205" i="406"/>
  <c r="AR205" i="406"/>
  <c r="AS205" i="406"/>
  <c r="AT205" i="406"/>
  <c r="AU205" i="406"/>
  <c r="AV205" i="406"/>
  <c r="AW205" i="406"/>
  <c r="AX205" i="406"/>
  <c r="AY205" i="406"/>
  <c r="AZ205" i="406"/>
  <c r="BA205" i="406"/>
  <c r="BB205" i="406"/>
  <c r="BC205" i="406"/>
  <c r="BD205" i="406"/>
  <c r="BE205" i="406"/>
  <c r="BF205" i="406"/>
  <c r="E206" i="406"/>
  <c r="F206" i="406"/>
  <c r="G206" i="406"/>
  <c r="H206" i="406"/>
  <c r="I206" i="406"/>
  <c r="J206" i="406"/>
  <c r="K206" i="406"/>
  <c r="L206" i="406"/>
  <c r="M206" i="406"/>
  <c r="N206" i="406"/>
  <c r="O206" i="406"/>
  <c r="P206" i="406"/>
  <c r="Q206" i="406"/>
  <c r="R206" i="406"/>
  <c r="S206" i="406"/>
  <c r="T206" i="406"/>
  <c r="U206" i="406"/>
  <c r="V206" i="406"/>
  <c r="W206" i="406"/>
  <c r="X206" i="406"/>
  <c r="Y206" i="406"/>
  <c r="Z206" i="406"/>
  <c r="AA206" i="406"/>
  <c r="AB206" i="406"/>
  <c r="AC206" i="406"/>
  <c r="AD206" i="406"/>
  <c r="AE206" i="406"/>
  <c r="AF206" i="406"/>
  <c r="AG206" i="406"/>
  <c r="AH206" i="406"/>
  <c r="AI206" i="406"/>
  <c r="AJ206" i="406"/>
  <c r="AK206" i="406"/>
  <c r="AL206" i="406"/>
  <c r="AM206" i="406"/>
  <c r="AN206" i="406"/>
  <c r="AO206" i="406"/>
  <c r="AP206" i="406"/>
  <c r="AQ206" i="406"/>
  <c r="AR206" i="406"/>
  <c r="AS206" i="406"/>
  <c r="AT206" i="406"/>
  <c r="AU206" i="406"/>
  <c r="AV206" i="406"/>
  <c r="AW206" i="406"/>
  <c r="AX206" i="406"/>
  <c r="AY206" i="406"/>
  <c r="AZ206" i="406"/>
  <c r="BA206" i="406"/>
  <c r="BB206" i="406"/>
  <c r="BC206" i="406"/>
  <c r="BD206" i="406"/>
  <c r="BE206" i="406"/>
  <c r="BF206" i="406"/>
  <c r="E207" i="406"/>
  <c r="F207" i="406"/>
  <c r="G207" i="406"/>
  <c r="H207" i="406"/>
  <c r="I207" i="406"/>
  <c r="J207" i="406"/>
  <c r="K207" i="406"/>
  <c r="L207" i="406"/>
  <c r="M207" i="406"/>
  <c r="N207" i="406"/>
  <c r="O207" i="406"/>
  <c r="P207" i="406"/>
  <c r="Q207" i="406"/>
  <c r="R207" i="406"/>
  <c r="S207" i="406"/>
  <c r="T207" i="406"/>
  <c r="U207" i="406"/>
  <c r="V207" i="406"/>
  <c r="W207" i="406"/>
  <c r="X207" i="406"/>
  <c r="Y207" i="406"/>
  <c r="Z207" i="406"/>
  <c r="AA207" i="406"/>
  <c r="AB207" i="406"/>
  <c r="AC207" i="406"/>
  <c r="AD207" i="406"/>
  <c r="AE207" i="406"/>
  <c r="AF207" i="406"/>
  <c r="AG207" i="406"/>
  <c r="AH207" i="406"/>
  <c r="AI207" i="406"/>
  <c r="AJ207" i="406"/>
  <c r="AK207" i="406"/>
  <c r="AL207" i="406"/>
  <c r="AM207" i="406"/>
  <c r="AN207" i="406"/>
  <c r="AO207" i="406"/>
  <c r="AP207" i="406"/>
  <c r="AQ207" i="406"/>
  <c r="AR207" i="406"/>
  <c r="AS207" i="406"/>
  <c r="AT207" i="406"/>
  <c r="AU207" i="406"/>
  <c r="AV207" i="406"/>
  <c r="AW207" i="406"/>
  <c r="AX207" i="406"/>
  <c r="AY207" i="406"/>
  <c r="AZ207" i="406"/>
  <c r="BA207" i="406"/>
  <c r="BB207" i="406"/>
  <c r="BC207" i="406"/>
  <c r="BD207" i="406"/>
  <c r="BE207" i="406"/>
  <c r="BF207" i="406"/>
  <c r="E208" i="406"/>
  <c r="F208" i="406"/>
  <c r="G208" i="406"/>
  <c r="H208" i="406"/>
  <c r="I208" i="406"/>
  <c r="J208" i="406"/>
  <c r="K208" i="406"/>
  <c r="L208" i="406"/>
  <c r="M208" i="406"/>
  <c r="N208" i="406"/>
  <c r="O208" i="406"/>
  <c r="P208" i="406"/>
  <c r="Q208" i="406"/>
  <c r="R208" i="406"/>
  <c r="S208" i="406"/>
  <c r="T208" i="406"/>
  <c r="U208" i="406"/>
  <c r="V208" i="406"/>
  <c r="W208" i="406"/>
  <c r="X208" i="406"/>
  <c r="Y208" i="406"/>
  <c r="Z208" i="406"/>
  <c r="AA208" i="406"/>
  <c r="AB208" i="406"/>
  <c r="AC208" i="406"/>
  <c r="AD208" i="406"/>
  <c r="AE208" i="406"/>
  <c r="AF208" i="406"/>
  <c r="AG208" i="406"/>
  <c r="AH208" i="406"/>
  <c r="AI208" i="406"/>
  <c r="AJ208" i="406"/>
  <c r="AK208" i="406"/>
  <c r="AL208" i="406"/>
  <c r="AM208" i="406"/>
  <c r="AN208" i="406"/>
  <c r="AO208" i="406"/>
  <c r="AP208" i="406"/>
  <c r="AQ208" i="406"/>
  <c r="AR208" i="406"/>
  <c r="AS208" i="406"/>
  <c r="AT208" i="406"/>
  <c r="AU208" i="406"/>
  <c r="AV208" i="406"/>
  <c r="AW208" i="406"/>
  <c r="AX208" i="406"/>
  <c r="AY208" i="406"/>
  <c r="AZ208" i="406"/>
  <c r="BA208" i="406"/>
  <c r="BB208" i="406"/>
  <c r="BC208" i="406"/>
  <c r="BD208" i="406"/>
  <c r="BE208" i="406"/>
  <c r="BF208" i="406"/>
  <c r="E209" i="406"/>
  <c r="F209" i="406"/>
  <c r="G209" i="406"/>
  <c r="H209" i="406"/>
  <c r="I209" i="406"/>
  <c r="J209" i="406"/>
  <c r="K209" i="406"/>
  <c r="L209" i="406"/>
  <c r="M209" i="406"/>
  <c r="N209" i="406"/>
  <c r="O209" i="406"/>
  <c r="P209" i="406"/>
  <c r="Q209" i="406"/>
  <c r="R209" i="406"/>
  <c r="S209" i="406"/>
  <c r="T209" i="406"/>
  <c r="U209" i="406"/>
  <c r="V209" i="406"/>
  <c r="W209" i="406"/>
  <c r="X209" i="406"/>
  <c r="Y209" i="406"/>
  <c r="Z209" i="406"/>
  <c r="AA209" i="406"/>
  <c r="AB209" i="406"/>
  <c r="AC209" i="406"/>
  <c r="AD209" i="406"/>
  <c r="AE209" i="406"/>
  <c r="AF209" i="406"/>
  <c r="AG209" i="406"/>
  <c r="AH209" i="406"/>
  <c r="AI209" i="406"/>
  <c r="AJ209" i="406"/>
  <c r="AK209" i="406"/>
  <c r="AL209" i="406"/>
  <c r="AM209" i="406"/>
  <c r="AN209" i="406"/>
  <c r="AO209" i="406"/>
  <c r="AP209" i="406"/>
  <c r="AQ209" i="406"/>
  <c r="AR209" i="406"/>
  <c r="AS209" i="406"/>
  <c r="AT209" i="406"/>
  <c r="AU209" i="406"/>
  <c r="AV209" i="406"/>
  <c r="AW209" i="406"/>
  <c r="AX209" i="406"/>
  <c r="AY209" i="406"/>
  <c r="AZ209" i="406"/>
  <c r="BA209" i="406"/>
  <c r="BB209" i="406"/>
  <c r="BC209" i="406"/>
  <c r="BD209" i="406"/>
  <c r="BE209" i="406"/>
  <c r="BF209" i="406"/>
  <c r="E210" i="406"/>
  <c r="F210" i="406"/>
  <c r="G210" i="406"/>
  <c r="H210" i="406"/>
  <c r="I210" i="406"/>
  <c r="J210" i="406"/>
  <c r="K210" i="406"/>
  <c r="L210" i="406"/>
  <c r="M210" i="406"/>
  <c r="N210" i="406"/>
  <c r="O210" i="406"/>
  <c r="P210" i="406"/>
  <c r="Q210" i="406"/>
  <c r="R210" i="406"/>
  <c r="S210" i="406"/>
  <c r="T210" i="406"/>
  <c r="U210" i="406"/>
  <c r="V210" i="406"/>
  <c r="W210" i="406"/>
  <c r="X210" i="406"/>
  <c r="Y210" i="406"/>
  <c r="Z210" i="406"/>
  <c r="AA210" i="406"/>
  <c r="AB210" i="406"/>
  <c r="AC210" i="406"/>
  <c r="AD210" i="406"/>
  <c r="AE210" i="406"/>
  <c r="AF210" i="406"/>
  <c r="AG210" i="406"/>
  <c r="AH210" i="406"/>
  <c r="AI210" i="406"/>
  <c r="AJ210" i="406"/>
  <c r="AK210" i="406"/>
  <c r="AL210" i="406"/>
  <c r="AM210" i="406"/>
  <c r="AN210" i="406"/>
  <c r="AO210" i="406"/>
  <c r="AP210" i="406"/>
  <c r="AQ210" i="406"/>
  <c r="AR210" i="406"/>
  <c r="AS210" i="406"/>
  <c r="AT210" i="406"/>
  <c r="AU210" i="406"/>
  <c r="AV210" i="406"/>
  <c r="AW210" i="406"/>
  <c r="AX210" i="406"/>
  <c r="AY210" i="406"/>
  <c r="AZ210" i="406"/>
  <c r="BA210" i="406"/>
  <c r="BB210" i="406"/>
  <c r="BC210" i="406"/>
  <c r="BD210" i="406"/>
  <c r="BE210" i="406"/>
  <c r="BF210" i="406"/>
  <c r="E211" i="406"/>
  <c r="F211" i="406"/>
  <c r="G211" i="406"/>
  <c r="H211" i="406"/>
  <c r="I211" i="406"/>
  <c r="J211" i="406"/>
  <c r="K211" i="406"/>
  <c r="L211" i="406"/>
  <c r="M211" i="406"/>
  <c r="N211" i="406"/>
  <c r="O211" i="406"/>
  <c r="P211" i="406"/>
  <c r="Q211" i="406"/>
  <c r="R211" i="406"/>
  <c r="S211" i="406"/>
  <c r="T211" i="406"/>
  <c r="U211" i="406"/>
  <c r="V211" i="406"/>
  <c r="W211" i="406"/>
  <c r="X211" i="406"/>
  <c r="Y211" i="406"/>
  <c r="Z211" i="406"/>
  <c r="AA211" i="406"/>
  <c r="AB211" i="406"/>
  <c r="AC211" i="406"/>
  <c r="AD211" i="406"/>
  <c r="AE211" i="406"/>
  <c r="AF211" i="406"/>
  <c r="AG211" i="406"/>
  <c r="AH211" i="406"/>
  <c r="AI211" i="406"/>
  <c r="AJ211" i="406"/>
  <c r="AK211" i="406"/>
  <c r="AL211" i="406"/>
  <c r="AM211" i="406"/>
  <c r="AN211" i="406"/>
  <c r="AO211" i="406"/>
  <c r="AP211" i="406"/>
  <c r="AQ211" i="406"/>
  <c r="AR211" i="406"/>
  <c r="AS211" i="406"/>
  <c r="AT211" i="406"/>
  <c r="AU211" i="406"/>
  <c r="AV211" i="406"/>
  <c r="AW211" i="406"/>
  <c r="AX211" i="406"/>
  <c r="AY211" i="406"/>
  <c r="AZ211" i="406"/>
  <c r="BA211" i="406"/>
  <c r="BB211" i="406"/>
  <c r="BC211" i="406"/>
  <c r="BD211" i="406"/>
  <c r="BE211" i="406"/>
  <c r="BF211" i="406"/>
  <c r="E212" i="406"/>
  <c r="F212" i="406"/>
  <c r="G212" i="406"/>
  <c r="H212" i="406"/>
  <c r="I212" i="406"/>
  <c r="J212" i="406"/>
  <c r="K212" i="406"/>
  <c r="L212" i="406"/>
  <c r="M212" i="406"/>
  <c r="N212" i="406"/>
  <c r="O212" i="406"/>
  <c r="P212" i="406"/>
  <c r="Q212" i="406"/>
  <c r="R212" i="406"/>
  <c r="S212" i="406"/>
  <c r="T212" i="406"/>
  <c r="U212" i="406"/>
  <c r="V212" i="406"/>
  <c r="W212" i="406"/>
  <c r="X212" i="406"/>
  <c r="Y212" i="406"/>
  <c r="Z212" i="406"/>
  <c r="AA212" i="406"/>
  <c r="AB212" i="406"/>
  <c r="AC212" i="406"/>
  <c r="AD212" i="406"/>
  <c r="AE212" i="406"/>
  <c r="AF212" i="406"/>
  <c r="AG212" i="406"/>
  <c r="AH212" i="406"/>
  <c r="AI212" i="406"/>
  <c r="AJ212" i="406"/>
  <c r="AK212" i="406"/>
  <c r="AL212" i="406"/>
  <c r="AM212" i="406"/>
  <c r="AN212" i="406"/>
  <c r="AO212" i="406"/>
  <c r="AP212" i="406"/>
  <c r="AQ212" i="406"/>
  <c r="AR212" i="406"/>
  <c r="AS212" i="406"/>
  <c r="AT212" i="406"/>
  <c r="AU212" i="406"/>
  <c r="AV212" i="406"/>
  <c r="AW212" i="406"/>
  <c r="AX212" i="406"/>
  <c r="AY212" i="406"/>
  <c r="AZ212" i="406"/>
  <c r="BA212" i="406"/>
  <c r="BB212" i="406"/>
  <c r="BC212" i="406"/>
  <c r="BD212" i="406"/>
  <c r="BE212" i="406"/>
  <c r="BF212" i="406"/>
  <c r="E213" i="406"/>
  <c r="F213" i="406"/>
  <c r="G213" i="406"/>
  <c r="H213" i="406"/>
  <c r="I213" i="406"/>
  <c r="J213" i="406"/>
  <c r="K213" i="406"/>
  <c r="L213" i="406"/>
  <c r="M213" i="406"/>
  <c r="N213" i="406"/>
  <c r="O213" i="406"/>
  <c r="P213" i="406"/>
  <c r="Q213" i="406"/>
  <c r="R213" i="406"/>
  <c r="S213" i="406"/>
  <c r="T213" i="406"/>
  <c r="U213" i="406"/>
  <c r="V213" i="406"/>
  <c r="W213" i="406"/>
  <c r="X213" i="406"/>
  <c r="Y213" i="406"/>
  <c r="Z213" i="406"/>
  <c r="AA213" i="406"/>
  <c r="AB213" i="406"/>
  <c r="AC213" i="406"/>
  <c r="AD213" i="406"/>
  <c r="AE213" i="406"/>
  <c r="AF213" i="406"/>
  <c r="AG213" i="406"/>
  <c r="AH213" i="406"/>
  <c r="AI213" i="406"/>
  <c r="AJ213" i="406"/>
  <c r="AK213" i="406"/>
  <c r="AL213" i="406"/>
  <c r="AM213" i="406"/>
  <c r="AN213" i="406"/>
  <c r="AO213" i="406"/>
  <c r="AP213" i="406"/>
  <c r="AQ213" i="406"/>
  <c r="AR213" i="406"/>
  <c r="AS213" i="406"/>
  <c r="AT213" i="406"/>
  <c r="AU213" i="406"/>
  <c r="AV213" i="406"/>
  <c r="AW213" i="406"/>
  <c r="AX213" i="406"/>
  <c r="AY213" i="406"/>
  <c r="AZ213" i="406"/>
  <c r="BA213" i="406"/>
  <c r="BB213" i="406"/>
  <c r="BC213" i="406"/>
  <c r="BD213" i="406"/>
  <c r="BE213" i="406"/>
  <c r="BF213" i="406"/>
  <c r="E214" i="406"/>
  <c r="F214" i="406"/>
  <c r="G214" i="406"/>
  <c r="H214" i="406"/>
  <c r="I214" i="406"/>
  <c r="J214" i="406"/>
  <c r="K214" i="406"/>
  <c r="L214" i="406"/>
  <c r="M214" i="406"/>
  <c r="N214" i="406"/>
  <c r="O214" i="406"/>
  <c r="P214" i="406"/>
  <c r="Q214" i="406"/>
  <c r="R214" i="406"/>
  <c r="S214" i="406"/>
  <c r="T214" i="406"/>
  <c r="U214" i="406"/>
  <c r="V214" i="406"/>
  <c r="W214" i="406"/>
  <c r="X214" i="406"/>
  <c r="Y214" i="406"/>
  <c r="Z214" i="406"/>
  <c r="AA214" i="406"/>
  <c r="AB214" i="406"/>
  <c r="AC214" i="406"/>
  <c r="AD214" i="406"/>
  <c r="AE214" i="406"/>
  <c r="AF214" i="406"/>
  <c r="AG214" i="406"/>
  <c r="AH214" i="406"/>
  <c r="AI214" i="406"/>
  <c r="AJ214" i="406"/>
  <c r="AK214" i="406"/>
  <c r="AL214" i="406"/>
  <c r="AM214" i="406"/>
  <c r="AN214" i="406"/>
  <c r="AO214" i="406"/>
  <c r="AP214" i="406"/>
  <c r="AQ214" i="406"/>
  <c r="AR214" i="406"/>
  <c r="AS214" i="406"/>
  <c r="AT214" i="406"/>
  <c r="AU214" i="406"/>
  <c r="AV214" i="406"/>
  <c r="AW214" i="406"/>
  <c r="AX214" i="406"/>
  <c r="AY214" i="406"/>
  <c r="AZ214" i="406"/>
  <c r="BA214" i="406"/>
  <c r="BB214" i="406"/>
  <c r="BC214" i="406"/>
  <c r="BD214" i="406"/>
  <c r="BE214" i="406"/>
  <c r="BF214" i="406"/>
  <c r="L197" i="406"/>
  <c r="M197" i="406"/>
  <c r="N197" i="406"/>
  <c r="O197" i="406"/>
  <c r="P197" i="406"/>
  <c r="Q197" i="406"/>
  <c r="R197" i="406"/>
  <c r="S197" i="406"/>
  <c r="T197" i="406"/>
  <c r="U197" i="406"/>
  <c r="V197" i="406"/>
  <c r="W197" i="406"/>
  <c r="X197" i="406"/>
  <c r="Y197" i="406"/>
  <c r="Z197" i="406"/>
  <c r="AA197" i="406"/>
  <c r="AB197" i="406"/>
  <c r="AC197" i="406"/>
  <c r="AD197" i="406"/>
  <c r="AE197" i="406"/>
  <c r="AF197" i="406"/>
  <c r="AG197" i="406"/>
  <c r="AH197" i="406"/>
  <c r="AI197" i="406"/>
  <c r="AJ197" i="406"/>
  <c r="AK197" i="406"/>
  <c r="AL197" i="406"/>
  <c r="AM197" i="406"/>
  <c r="AN197" i="406"/>
  <c r="AO197" i="406"/>
  <c r="AP197" i="406"/>
  <c r="AQ197" i="406"/>
  <c r="AR197" i="406"/>
  <c r="AS197" i="406"/>
  <c r="AT197" i="406"/>
  <c r="AU197" i="406"/>
  <c r="AV197" i="406"/>
  <c r="AW197" i="406"/>
  <c r="AX197" i="406"/>
  <c r="AY197" i="406"/>
  <c r="AZ197" i="406"/>
  <c r="BA197" i="406"/>
  <c r="BB197" i="406"/>
  <c r="BC197" i="406"/>
  <c r="BD197" i="406"/>
  <c r="BE197" i="406"/>
  <c r="BF197" i="406"/>
  <c r="L198" i="406"/>
  <c r="M198" i="406"/>
  <c r="N198" i="406"/>
  <c r="O198" i="406"/>
  <c r="P198" i="406"/>
  <c r="Q198" i="406"/>
  <c r="R198" i="406"/>
  <c r="S198" i="406"/>
  <c r="T198" i="406"/>
  <c r="U198" i="406"/>
  <c r="V198" i="406"/>
  <c r="W198" i="406"/>
  <c r="X198" i="406"/>
  <c r="Y198" i="406"/>
  <c r="Z198" i="406"/>
  <c r="AA198" i="406"/>
  <c r="AB198" i="406"/>
  <c r="AC198" i="406"/>
  <c r="AD198" i="406"/>
  <c r="AE198" i="406"/>
  <c r="AF198" i="406"/>
  <c r="AG198" i="406"/>
  <c r="AH198" i="406"/>
  <c r="AI198" i="406"/>
  <c r="AJ198" i="406"/>
  <c r="AK198" i="406"/>
  <c r="AL198" i="406"/>
  <c r="AM198" i="406"/>
  <c r="AN198" i="406"/>
  <c r="AO198" i="406"/>
  <c r="AP198" i="406"/>
  <c r="AQ198" i="406"/>
  <c r="AR198" i="406"/>
  <c r="AS198" i="406"/>
  <c r="AT198" i="406"/>
  <c r="AU198" i="406"/>
  <c r="AV198" i="406"/>
  <c r="AW198" i="406"/>
  <c r="AX198" i="406"/>
  <c r="AY198" i="406"/>
  <c r="AZ198" i="406"/>
  <c r="BA198" i="406"/>
  <c r="BB198" i="406"/>
  <c r="BC198" i="406"/>
  <c r="BD198" i="406"/>
  <c r="BE198" i="406"/>
  <c r="BF198" i="406"/>
  <c r="L199" i="406"/>
  <c r="M199" i="406"/>
  <c r="N199" i="406"/>
  <c r="O199" i="406"/>
  <c r="P199" i="406"/>
  <c r="Q199" i="406"/>
  <c r="R199" i="406"/>
  <c r="S199" i="406"/>
  <c r="T199" i="406"/>
  <c r="U199" i="406"/>
  <c r="V199" i="406"/>
  <c r="W199" i="406"/>
  <c r="X199" i="406"/>
  <c r="Y199" i="406"/>
  <c r="Z199" i="406"/>
  <c r="AA199" i="406"/>
  <c r="AB199" i="406"/>
  <c r="AC199" i="406"/>
  <c r="AD199" i="406"/>
  <c r="AE199" i="406"/>
  <c r="AF199" i="406"/>
  <c r="AG199" i="406"/>
  <c r="AH199" i="406"/>
  <c r="AI199" i="406"/>
  <c r="AJ199" i="406"/>
  <c r="AK199" i="406"/>
  <c r="AL199" i="406"/>
  <c r="AM199" i="406"/>
  <c r="AN199" i="406"/>
  <c r="AO199" i="406"/>
  <c r="AP199" i="406"/>
  <c r="AQ199" i="406"/>
  <c r="AR199" i="406"/>
  <c r="AS199" i="406"/>
  <c r="AT199" i="406"/>
  <c r="AU199" i="406"/>
  <c r="AV199" i="406"/>
  <c r="AW199" i="406"/>
  <c r="AX199" i="406"/>
  <c r="AY199" i="406"/>
  <c r="AZ199" i="406"/>
  <c r="BA199" i="406"/>
  <c r="BB199" i="406"/>
  <c r="BC199" i="406"/>
  <c r="BD199" i="406"/>
  <c r="BE199" i="406"/>
  <c r="BF199" i="406"/>
  <c r="L200" i="406"/>
  <c r="M200" i="406"/>
  <c r="M278" i="455" s="1"/>
  <c r="N200" i="406"/>
  <c r="O200" i="406"/>
  <c r="P200" i="406"/>
  <c r="Q200" i="406"/>
  <c r="Q278" i="455" s="1"/>
  <c r="R200" i="406"/>
  <c r="S200" i="406"/>
  <c r="T200" i="406"/>
  <c r="U200" i="406"/>
  <c r="U278" i="455" s="1"/>
  <c r="V200" i="406"/>
  <c r="W200" i="406"/>
  <c r="X200" i="406"/>
  <c r="Y200" i="406"/>
  <c r="Z200" i="406"/>
  <c r="AA200" i="406"/>
  <c r="AB200" i="406"/>
  <c r="AC200" i="406"/>
  <c r="AD200" i="406"/>
  <c r="AE200" i="406"/>
  <c r="AF200" i="406"/>
  <c r="AG200" i="406"/>
  <c r="AH200" i="406"/>
  <c r="AI200" i="406"/>
  <c r="AJ200" i="406"/>
  <c r="AK200" i="406"/>
  <c r="AL200" i="406"/>
  <c r="AM200" i="406"/>
  <c r="AN200" i="406"/>
  <c r="AO200" i="406"/>
  <c r="AP200" i="406"/>
  <c r="AQ200" i="406"/>
  <c r="AR200" i="406"/>
  <c r="AS200" i="406"/>
  <c r="AT200" i="406"/>
  <c r="AU200" i="406"/>
  <c r="AV200" i="406"/>
  <c r="AW200" i="406"/>
  <c r="AX200" i="406"/>
  <c r="AY200" i="406"/>
  <c r="AZ200" i="406"/>
  <c r="BA200" i="406"/>
  <c r="BB200" i="406"/>
  <c r="BC200" i="406"/>
  <c r="BD200" i="406"/>
  <c r="BE200" i="406"/>
  <c r="BF200" i="406"/>
  <c r="L201" i="406"/>
  <c r="L263" i="457" s="1"/>
  <c r="L265" i="457" s="1"/>
  <c r="M201" i="406"/>
  <c r="N201" i="406"/>
  <c r="O201" i="406"/>
  <c r="O263" i="457" s="1"/>
  <c r="P201" i="406"/>
  <c r="P263" i="457" s="1"/>
  <c r="Q201" i="406"/>
  <c r="R201" i="406"/>
  <c r="S201" i="406"/>
  <c r="S263" i="457" s="1"/>
  <c r="T201" i="406"/>
  <c r="T263" i="457" s="1"/>
  <c r="U201" i="406"/>
  <c r="V201" i="406"/>
  <c r="W201" i="406"/>
  <c r="W263" i="457" s="1"/>
  <c r="X201" i="406"/>
  <c r="X263" i="457" s="1"/>
  <c r="Y201" i="406"/>
  <c r="Z201" i="406"/>
  <c r="AA201" i="406"/>
  <c r="AB201" i="406"/>
  <c r="AC201" i="406"/>
  <c r="AD201" i="406"/>
  <c r="AE201" i="406"/>
  <c r="AF201" i="406"/>
  <c r="AG201" i="406"/>
  <c r="AH201" i="406"/>
  <c r="AI201" i="406"/>
  <c r="AJ201" i="406"/>
  <c r="AK201" i="406"/>
  <c r="AL201" i="406"/>
  <c r="AM201" i="406"/>
  <c r="AN201" i="406"/>
  <c r="AO201" i="406"/>
  <c r="AP201" i="406"/>
  <c r="AQ201" i="406"/>
  <c r="AR201" i="406"/>
  <c r="AS201" i="406"/>
  <c r="AT201" i="406"/>
  <c r="AU201" i="406"/>
  <c r="AV201" i="406"/>
  <c r="AW201" i="406"/>
  <c r="AX201" i="406"/>
  <c r="AY201" i="406"/>
  <c r="AZ201" i="406"/>
  <c r="BA201" i="406"/>
  <c r="BB201" i="406"/>
  <c r="BC201" i="406"/>
  <c r="BD201" i="406"/>
  <c r="BE201" i="406"/>
  <c r="BF201" i="406"/>
  <c r="L202" i="406"/>
  <c r="M202" i="406"/>
  <c r="N202" i="406"/>
  <c r="O202" i="406"/>
  <c r="P202" i="406"/>
  <c r="Q202" i="406"/>
  <c r="R202" i="406"/>
  <c r="S202" i="406"/>
  <c r="T202" i="406"/>
  <c r="U202" i="406"/>
  <c r="V202" i="406"/>
  <c r="W202" i="406"/>
  <c r="X202" i="406"/>
  <c r="Y202" i="406"/>
  <c r="Z202" i="406"/>
  <c r="AA202" i="406"/>
  <c r="AB202" i="406"/>
  <c r="AC202" i="406"/>
  <c r="AD202" i="406"/>
  <c r="AE202" i="406"/>
  <c r="AF202" i="406"/>
  <c r="AG202" i="406"/>
  <c r="AH202" i="406"/>
  <c r="AI202" i="406"/>
  <c r="AJ202" i="406"/>
  <c r="AK202" i="406"/>
  <c r="AL202" i="406"/>
  <c r="AM202" i="406"/>
  <c r="AN202" i="406"/>
  <c r="AO202" i="406"/>
  <c r="AP202" i="406"/>
  <c r="AQ202" i="406"/>
  <c r="AR202" i="406"/>
  <c r="AS202" i="406"/>
  <c r="AT202" i="406"/>
  <c r="AU202" i="406"/>
  <c r="AV202" i="406"/>
  <c r="AW202" i="406"/>
  <c r="AX202" i="406"/>
  <c r="AY202" i="406"/>
  <c r="AZ202" i="406"/>
  <c r="BA202" i="406"/>
  <c r="BB202" i="406"/>
  <c r="BC202" i="406"/>
  <c r="BD202" i="406"/>
  <c r="BE202" i="406"/>
  <c r="BF202" i="406"/>
  <c r="P120" i="455"/>
  <c r="Q120" i="455"/>
  <c r="R120" i="455"/>
  <c r="S120" i="455"/>
  <c r="O120" i="455"/>
  <c r="E110" i="431"/>
  <c r="T110" i="431" s="1"/>
  <c r="E111" i="431"/>
  <c r="E112" i="431"/>
  <c r="U112" i="431" s="1"/>
  <c r="E109" i="431"/>
  <c r="T109" i="431"/>
  <c r="E108" i="431"/>
  <c r="J14" i="455"/>
  <c r="X278" i="455"/>
  <c r="W278" i="455"/>
  <c r="T278" i="455"/>
  <c r="S278" i="455"/>
  <c r="P278" i="455"/>
  <c r="O278" i="455"/>
  <c r="L278" i="455"/>
  <c r="X263" i="455"/>
  <c r="W263" i="455"/>
  <c r="T263" i="455"/>
  <c r="S263" i="455"/>
  <c r="P263" i="455"/>
  <c r="O263" i="455"/>
  <c r="L263" i="455"/>
  <c r="I259" i="455"/>
  <c r="H259" i="455"/>
  <c r="G259" i="455"/>
  <c r="F259" i="455"/>
  <c r="E259" i="455"/>
  <c r="D259" i="455"/>
  <c r="I258" i="455"/>
  <c r="H258" i="455"/>
  <c r="G258" i="455"/>
  <c r="F258" i="455"/>
  <c r="E258" i="455"/>
  <c r="D258" i="455"/>
  <c r="I257" i="455"/>
  <c r="H257" i="455"/>
  <c r="G257" i="455"/>
  <c r="F257" i="455"/>
  <c r="E257" i="455"/>
  <c r="D257" i="455"/>
  <c r="I254" i="455"/>
  <c r="H254" i="455"/>
  <c r="G254" i="455"/>
  <c r="F254" i="455"/>
  <c r="F255" i="455" s="1"/>
  <c r="E254" i="455"/>
  <c r="D254" i="455"/>
  <c r="I251" i="455"/>
  <c r="H251" i="455"/>
  <c r="G251" i="455"/>
  <c r="G252" i="455" s="1"/>
  <c r="F251" i="455"/>
  <c r="E251" i="455"/>
  <c r="E252" i="455" s="1"/>
  <c r="D251" i="455"/>
  <c r="J250" i="455"/>
  <c r="J283" i="455" s="1"/>
  <c r="I249" i="455"/>
  <c r="H249" i="455"/>
  <c r="H250" i="455"/>
  <c r="H283" i="455" s="1"/>
  <c r="G249" i="455"/>
  <c r="F249" i="455"/>
  <c r="F250" i="455"/>
  <c r="F283" i="455" s="1"/>
  <c r="E249" i="455"/>
  <c r="D249" i="455"/>
  <c r="I248" i="455"/>
  <c r="H248" i="455"/>
  <c r="G248" i="455"/>
  <c r="F248" i="455"/>
  <c r="E248" i="455"/>
  <c r="D248" i="455"/>
  <c r="I246" i="455"/>
  <c r="J247" i="455"/>
  <c r="H246" i="455"/>
  <c r="G246" i="455"/>
  <c r="F246" i="455"/>
  <c r="E246" i="455"/>
  <c r="D246" i="455"/>
  <c r="I244" i="455"/>
  <c r="H244" i="455"/>
  <c r="G244" i="455"/>
  <c r="F244" i="455"/>
  <c r="E244" i="455"/>
  <c r="D244" i="455"/>
  <c r="I242" i="455"/>
  <c r="J243" i="455"/>
  <c r="H242" i="455"/>
  <c r="G242" i="455"/>
  <c r="F242" i="455"/>
  <c r="E242" i="455"/>
  <c r="D242" i="455"/>
  <c r="N238" i="455"/>
  <c r="O238" i="455" s="1"/>
  <c r="P238" i="455"/>
  <c r="Q238" i="455" s="1"/>
  <c r="R238" i="455" s="1"/>
  <c r="S238" i="455" s="1"/>
  <c r="T238" i="455" s="1"/>
  <c r="U238" i="455" s="1"/>
  <c r="V238" i="455" s="1"/>
  <c r="W238" i="455" s="1"/>
  <c r="X238" i="455"/>
  <c r="M238" i="455"/>
  <c r="L238" i="455"/>
  <c r="K238" i="455"/>
  <c r="J238" i="455"/>
  <c r="I238" i="455"/>
  <c r="H238" i="455"/>
  <c r="G238" i="455"/>
  <c r="F238" i="455"/>
  <c r="E238" i="455"/>
  <c r="D238" i="455"/>
  <c r="O235" i="455"/>
  <c r="P235" i="455"/>
  <c r="Q235" i="455" s="1"/>
  <c r="R235" i="455" s="1"/>
  <c r="S235" i="455" s="1"/>
  <c r="T235" i="455" s="1"/>
  <c r="U235" i="455" s="1"/>
  <c r="V235" i="455" s="1"/>
  <c r="W235" i="455" s="1"/>
  <c r="X235" i="455" s="1"/>
  <c r="N235" i="455"/>
  <c r="M235" i="455"/>
  <c r="L235" i="455"/>
  <c r="K235" i="455"/>
  <c r="J235" i="455"/>
  <c r="I235" i="455"/>
  <c r="H235" i="455"/>
  <c r="G235" i="455"/>
  <c r="F235" i="455"/>
  <c r="E235" i="455"/>
  <c r="D235" i="455"/>
  <c r="N237" i="455"/>
  <c r="L237" i="455"/>
  <c r="J237" i="455"/>
  <c r="I234" i="455"/>
  <c r="H234" i="455"/>
  <c r="G234" i="455"/>
  <c r="F234" i="455"/>
  <c r="F237" i="455"/>
  <c r="E234" i="455"/>
  <c r="E35" i="455" s="1"/>
  <c r="D234" i="455"/>
  <c r="D237" i="455" s="1"/>
  <c r="M233" i="455"/>
  <c r="K233" i="455"/>
  <c r="I232" i="455"/>
  <c r="I233" i="455" s="1"/>
  <c r="H232" i="455"/>
  <c r="G232" i="455"/>
  <c r="F232" i="455"/>
  <c r="E232" i="455"/>
  <c r="F145" i="455" s="1"/>
  <c r="D232" i="455"/>
  <c r="N231" i="455"/>
  <c r="N29" i="455"/>
  <c r="M231" i="455"/>
  <c r="N145" i="455" s="1"/>
  <c r="N71" i="455" s="1"/>
  <c r="L231" i="455"/>
  <c r="L145" i="455" s="1"/>
  <c r="L71" i="455" s="1"/>
  <c r="L29" i="455"/>
  <c r="K231" i="455"/>
  <c r="J231" i="455"/>
  <c r="J29" i="455"/>
  <c r="I231" i="455"/>
  <c r="H231" i="455"/>
  <c r="G231" i="455"/>
  <c r="F231" i="455"/>
  <c r="E231" i="455"/>
  <c r="E29" i="455"/>
  <c r="D231" i="455"/>
  <c r="N226" i="455"/>
  <c r="M226" i="455"/>
  <c r="L226" i="455"/>
  <c r="K226" i="455"/>
  <c r="J226" i="455"/>
  <c r="I226" i="455"/>
  <c r="H226" i="455"/>
  <c r="G226" i="455"/>
  <c r="F226" i="455"/>
  <c r="E226" i="455"/>
  <c r="D226" i="455"/>
  <c r="O224" i="455"/>
  <c r="I224" i="455"/>
  <c r="G224" i="455"/>
  <c r="E224" i="455"/>
  <c r="N221" i="455"/>
  <c r="M221" i="455"/>
  <c r="L221" i="455"/>
  <c r="K221" i="455"/>
  <c r="J221" i="455"/>
  <c r="I221" i="455"/>
  <c r="H221" i="455"/>
  <c r="G221" i="455"/>
  <c r="F221" i="455"/>
  <c r="E221" i="455"/>
  <c r="D221" i="455"/>
  <c r="N218" i="455"/>
  <c r="N126" i="455" s="1"/>
  <c r="M218" i="455"/>
  <c r="M126" i="455" s="1"/>
  <c r="L218" i="455"/>
  <c r="L126" i="455" s="1"/>
  <c r="K218" i="455"/>
  <c r="K126" i="455" s="1"/>
  <c r="J218" i="455"/>
  <c r="I218" i="455"/>
  <c r="I126" i="455"/>
  <c r="H218" i="455"/>
  <c r="G218" i="455"/>
  <c r="G126" i="455"/>
  <c r="F218" i="455"/>
  <c r="F126" i="455" s="1"/>
  <c r="F127" i="455" s="1"/>
  <c r="E218" i="455"/>
  <c r="E126" i="455"/>
  <c r="D218" i="455"/>
  <c r="D126" i="455" s="1"/>
  <c r="N217" i="455"/>
  <c r="N59" i="455"/>
  <c r="N60" i="455"/>
  <c r="M217" i="455"/>
  <c r="L217" i="455"/>
  <c r="L59" i="455"/>
  <c r="L60" i="455"/>
  <c r="K217" i="455"/>
  <c r="J217" i="455"/>
  <c r="J59" i="455" s="1"/>
  <c r="H217" i="455"/>
  <c r="H59" i="455"/>
  <c r="G217" i="455"/>
  <c r="F217" i="455"/>
  <c r="F59" i="455"/>
  <c r="E217" i="455"/>
  <c r="D217" i="455"/>
  <c r="D59" i="455"/>
  <c r="D60" i="455"/>
  <c r="N216" i="455"/>
  <c r="M216" i="455"/>
  <c r="L216" i="455"/>
  <c r="L222" i="455" s="1"/>
  <c r="K216" i="455"/>
  <c r="J216" i="455"/>
  <c r="I216" i="455"/>
  <c r="H216" i="455"/>
  <c r="G216" i="455"/>
  <c r="F216" i="455"/>
  <c r="E216" i="455"/>
  <c r="D216" i="455"/>
  <c r="N215" i="455"/>
  <c r="M215" i="455"/>
  <c r="L215" i="455"/>
  <c r="K215" i="455"/>
  <c r="J215" i="455"/>
  <c r="I215" i="455"/>
  <c r="H215" i="455"/>
  <c r="G215" i="455"/>
  <c r="F215" i="455"/>
  <c r="E215" i="455"/>
  <c r="D215" i="455"/>
  <c r="O212" i="455"/>
  <c r="P212" i="455"/>
  <c r="Q212" i="455" s="1"/>
  <c r="R212" i="455" s="1"/>
  <c r="S212" i="455"/>
  <c r="T212" i="455" s="1"/>
  <c r="U212" i="455" s="1"/>
  <c r="V212" i="455" s="1"/>
  <c r="W212" i="455" s="1"/>
  <c r="X212" i="455" s="1"/>
  <c r="N208" i="455"/>
  <c r="M208" i="455"/>
  <c r="L208" i="455"/>
  <c r="K208" i="455"/>
  <c r="J208" i="455"/>
  <c r="I208" i="455"/>
  <c r="H208" i="455"/>
  <c r="G208" i="455"/>
  <c r="F208" i="455"/>
  <c r="E208" i="455"/>
  <c r="D208" i="455"/>
  <c r="N207" i="455"/>
  <c r="M207" i="455"/>
  <c r="L207" i="455"/>
  <c r="K207" i="455"/>
  <c r="J207" i="455"/>
  <c r="I207" i="455"/>
  <c r="H207" i="455"/>
  <c r="G207" i="455"/>
  <c r="F207" i="455"/>
  <c r="E207" i="455"/>
  <c r="E210" i="455" s="1"/>
  <c r="D207" i="455"/>
  <c r="I204" i="455"/>
  <c r="H204" i="455"/>
  <c r="G204" i="455"/>
  <c r="G203" i="455" s="1"/>
  <c r="F204" i="455"/>
  <c r="F203" i="455" s="1"/>
  <c r="E204" i="455"/>
  <c r="D204" i="455"/>
  <c r="D203" i="455"/>
  <c r="I201" i="455"/>
  <c r="H201" i="455"/>
  <c r="G201" i="455"/>
  <c r="G200" i="455" s="1"/>
  <c r="F201" i="455"/>
  <c r="F200" i="455" s="1"/>
  <c r="E201" i="455"/>
  <c r="D201" i="455"/>
  <c r="I199" i="455"/>
  <c r="H199" i="455"/>
  <c r="H200" i="455" s="1"/>
  <c r="G199" i="455"/>
  <c r="F199" i="455"/>
  <c r="E199" i="455"/>
  <c r="D199" i="455"/>
  <c r="O195" i="455"/>
  <c r="P195" i="455"/>
  <c r="Q195" i="455" s="1"/>
  <c r="R195" i="455" s="1"/>
  <c r="S195" i="455"/>
  <c r="T195" i="455" s="1"/>
  <c r="U195" i="455" s="1"/>
  <c r="V195" i="455" s="1"/>
  <c r="W195" i="455" s="1"/>
  <c r="X195" i="455" s="1"/>
  <c r="N195" i="455"/>
  <c r="M195" i="455"/>
  <c r="L195" i="455"/>
  <c r="K195" i="455"/>
  <c r="J195" i="455"/>
  <c r="I195" i="455"/>
  <c r="H195" i="455"/>
  <c r="G195" i="455"/>
  <c r="F195" i="455"/>
  <c r="E195" i="455"/>
  <c r="D195" i="455"/>
  <c r="N194" i="455"/>
  <c r="M194" i="455"/>
  <c r="L194" i="455"/>
  <c r="K194" i="455"/>
  <c r="J194" i="455"/>
  <c r="I194" i="455"/>
  <c r="H194" i="455"/>
  <c r="G194" i="455"/>
  <c r="F194" i="455"/>
  <c r="E194" i="455"/>
  <c r="D194" i="455"/>
  <c r="N193" i="455"/>
  <c r="O193" i="455"/>
  <c r="M193" i="455"/>
  <c r="L193" i="455"/>
  <c r="L66" i="455"/>
  <c r="K193" i="455"/>
  <c r="J193" i="455"/>
  <c r="J66" i="455"/>
  <c r="I193" i="455"/>
  <c r="H193" i="455"/>
  <c r="H66" i="455" s="1"/>
  <c r="G193" i="455"/>
  <c r="G66" i="455" s="1"/>
  <c r="F193" i="455"/>
  <c r="F66" i="455" s="1"/>
  <c r="E193" i="455"/>
  <c r="D193" i="455"/>
  <c r="D66" i="455"/>
  <c r="D68" i="455" s="1"/>
  <c r="N192" i="455"/>
  <c r="O192" i="455" s="1"/>
  <c r="P192" i="455"/>
  <c r="Q192" i="455"/>
  <c r="R192" i="455" s="1"/>
  <c r="S192" i="455" s="1"/>
  <c r="T192" i="455"/>
  <c r="U192" i="455" s="1"/>
  <c r="V192" i="455" s="1"/>
  <c r="W192" i="455" s="1"/>
  <c r="X192" i="455" s="1"/>
  <c r="M192" i="455"/>
  <c r="L192" i="455"/>
  <c r="K192" i="455"/>
  <c r="J192" i="455"/>
  <c r="I192" i="455"/>
  <c r="H192" i="455"/>
  <c r="G192" i="455"/>
  <c r="F192" i="455"/>
  <c r="E192" i="455"/>
  <c r="D192" i="455"/>
  <c r="N191" i="455"/>
  <c r="M191" i="455"/>
  <c r="L191" i="455"/>
  <c r="L110" i="455" s="1"/>
  <c r="K191" i="455"/>
  <c r="K110" i="455"/>
  <c r="J191" i="455"/>
  <c r="I191" i="455"/>
  <c r="H191" i="455"/>
  <c r="G191" i="455"/>
  <c r="F191" i="455"/>
  <c r="E191" i="455"/>
  <c r="D191" i="455"/>
  <c r="N190" i="455"/>
  <c r="O190" i="455" s="1"/>
  <c r="P190" i="455" s="1"/>
  <c r="Q190" i="455"/>
  <c r="R190" i="455"/>
  <c r="S190" i="455" s="1"/>
  <c r="T190" i="455" s="1"/>
  <c r="U190" i="455"/>
  <c r="V190" i="455" s="1"/>
  <c r="W190" i="455" s="1"/>
  <c r="X190" i="455" s="1"/>
  <c r="M190" i="455"/>
  <c r="L190" i="455"/>
  <c r="K190" i="455"/>
  <c r="J190" i="455"/>
  <c r="I190" i="455"/>
  <c r="H190" i="455"/>
  <c r="G190" i="455"/>
  <c r="F190" i="455"/>
  <c r="E190" i="455"/>
  <c r="D190" i="455"/>
  <c r="D189" i="455"/>
  <c r="N186" i="455"/>
  <c r="M186" i="455"/>
  <c r="L186" i="455"/>
  <c r="K186" i="455"/>
  <c r="J186" i="455"/>
  <c r="I186" i="455"/>
  <c r="H186" i="455"/>
  <c r="G186" i="455"/>
  <c r="F186" i="455"/>
  <c r="E186" i="455"/>
  <c r="D186" i="455"/>
  <c r="N183" i="455"/>
  <c r="M183" i="455"/>
  <c r="L183" i="455"/>
  <c r="K183" i="455"/>
  <c r="J183" i="455"/>
  <c r="I183" i="455"/>
  <c r="H183" i="455"/>
  <c r="G183" i="455"/>
  <c r="F183" i="455"/>
  <c r="E183" i="455"/>
  <c r="D183" i="455"/>
  <c r="I179" i="455"/>
  <c r="H179" i="455"/>
  <c r="G179" i="455"/>
  <c r="F179" i="455"/>
  <c r="E179" i="455"/>
  <c r="D179" i="455"/>
  <c r="I178" i="455"/>
  <c r="H178" i="455"/>
  <c r="G178" i="455"/>
  <c r="F178" i="455"/>
  <c r="E178" i="455"/>
  <c r="D178" i="455"/>
  <c r="I175" i="455"/>
  <c r="H175" i="455"/>
  <c r="G175" i="455"/>
  <c r="F175" i="455"/>
  <c r="E175" i="455"/>
  <c r="D175" i="455"/>
  <c r="I174" i="455"/>
  <c r="H174" i="455"/>
  <c r="G174" i="455"/>
  <c r="F174" i="455"/>
  <c r="E174" i="455"/>
  <c r="D174" i="455"/>
  <c r="I173" i="455"/>
  <c r="H173" i="455"/>
  <c r="G173" i="455"/>
  <c r="F173" i="455"/>
  <c r="E173" i="455"/>
  <c r="D173" i="455"/>
  <c r="I172" i="455"/>
  <c r="H172" i="455"/>
  <c r="G172" i="455"/>
  <c r="F172" i="455"/>
  <c r="E172" i="455"/>
  <c r="D172" i="455"/>
  <c r="L65" i="455"/>
  <c r="K65" i="455"/>
  <c r="J65" i="455"/>
  <c r="I171" i="455"/>
  <c r="H171" i="455"/>
  <c r="G171" i="455"/>
  <c r="F171" i="455"/>
  <c r="E171" i="455"/>
  <c r="D171" i="455"/>
  <c r="I170" i="455"/>
  <c r="H170" i="455"/>
  <c r="G170" i="455"/>
  <c r="F170" i="455"/>
  <c r="E170" i="455"/>
  <c r="D170" i="455"/>
  <c r="D169" i="455"/>
  <c r="I164" i="455"/>
  <c r="H164" i="455"/>
  <c r="G164" i="455"/>
  <c r="F164" i="455"/>
  <c r="E164" i="455"/>
  <c r="D164" i="455"/>
  <c r="I161" i="455"/>
  <c r="I160" i="455"/>
  <c r="H161" i="455"/>
  <c r="H160" i="455" s="1"/>
  <c r="G161" i="455"/>
  <c r="F161" i="455"/>
  <c r="E161" i="455"/>
  <c r="D161" i="455"/>
  <c r="D160" i="455"/>
  <c r="G160" i="455"/>
  <c r="I159" i="455"/>
  <c r="H159" i="455"/>
  <c r="G159" i="455"/>
  <c r="D159" i="455"/>
  <c r="G158" i="455"/>
  <c r="I157" i="455"/>
  <c r="H157" i="455"/>
  <c r="G157" i="455"/>
  <c r="D157" i="455"/>
  <c r="N154" i="455"/>
  <c r="M154" i="455"/>
  <c r="L154" i="455"/>
  <c r="K154" i="455"/>
  <c r="J154" i="455"/>
  <c r="I154" i="455"/>
  <c r="H154" i="455"/>
  <c r="G154" i="455"/>
  <c r="F154" i="455"/>
  <c r="E154" i="455"/>
  <c r="D154" i="455"/>
  <c r="N153" i="455"/>
  <c r="M153" i="455"/>
  <c r="L153" i="455"/>
  <c r="K153" i="455"/>
  <c r="J153" i="455"/>
  <c r="I153" i="455"/>
  <c r="H153" i="455"/>
  <c r="G153" i="455"/>
  <c r="F153" i="455"/>
  <c r="E153" i="455"/>
  <c r="D153" i="455"/>
  <c r="N152" i="455"/>
  <c r="M152" i="455"/>
  <c r="L152" i="455"/>
  <c r="K152" i="455"/>
  <c r="J152" i="455"/>
  <c r="I152" i="455"/>
  <c r="H152" i="455"/>
  <c r="G152" i="455"/>
  <c r="F152" i="455"/>
  <c r="E152" i="455"/>
  <c r="D152" i="455"/>
  <c r="N151" i="455"/>
  <c r="M151" i="455"/>
  <c r="L151" i="455"/>
  <c r="K151" i="455"/>
  <c r="J151" i="455"/>
  <c r="I151" i="455"/>
  <c r="H151" i="455"/>
  <c r="G151" i="455"/>
  <c r="F151" i="455"/>
  <c r="E151" i="455"/>
  <c r="D151" i="455"/>
  <c r="I148" i="455"/>
  <c r="I147" i="455" s="1"/>
  <c r="H148" i="455"/>
  <c r="G148" i="455"/>
  <c r="F148" i="455"/>
  <c r="E148" i="455"/>
  <c r="D148" i="455"/>
  <c r="D147" i="455" s="1"/>
  <c r="I144" i="455"/>
  <c r="H144" i="455"/>
  <c r="G144" i="455"/>
  <c r="F144" i="455"/>
  <c r="E144" i="455"/>
  <c r="D144" i="455"/>
  <c r="M143" i="455"/>
  <c r="M67" i="455" s="1"/>
  <c r="K143" i="455"/>
  <c r="K67" i="455" s="1"/>
  <c r="I142" i="455"/>
  <c r="H142" i="455"/>
  <c r="H143" i="455" s="1"/>
  <c r="G142" i="455"/>
  <c r="G143" i="455" s="1"/>
  <c r="G67" i="455"/>
  <c r="F142" i="455"/>
  <c r="E142" i="455"/>
  <c r="E143" i="455" s="1"/>
  <c r="E67" i="455" s="1"/>
  <c r="E68" i="455" s="1"/>
  <c r="D142" i="455"/>
  <c r="I139" i="455"/>
  <c r="H139" i="455"/>
  <c r="G139" i="455"/>
  <c r="F139" i="455"/>
  <c r="E139" i="455"/>
  <c r="D139" i="455"/>
  <c r="I137" i="455"/>
  <c r="H137" i="455"/>
  <c r="G137" i="455"/>
  <c r="F137" i="455"/>
  <c r="E137" i="455"/>
  <c r="D137" i="455"/>
  <c r="I136" i="455"/>
  <c r="H136" i="455"/>
  <c r="G136" i="455"/>
  <c r="F136" i="455"/>
  <c r="E136" i="455"/>
  <c r="D136" i="455"/>
  <c r="I135" i="455"/>
  <c r="H135" i="455"/>
  <c r="G135" i="455"/>
  <c r="F135" i="455"/>
  <c r="E135" i="455"/>
  <c r="D135" i="455"/>
  <c r="I134" i="455"/>
  <c r="H134" i="455"/>
  <c r="G134" i="455"/>
  <c r="F134" i="455"/>
  <c r="E134" i="455"/>
  <c r="D134" i="455"/>
  <c r="I133" i="455"/>
  <c r="H133" i="455"/>
  <c r="G133" i="455"/>
  <c r="F133" i="455"/>
  <c r="E133" i="455"/>
  <c r="D133" i="455"/>
  <c r="I132" i="455"/>
  <c r="I138" i="455" s="1"/>
  <c r="H132" i="455"/>
  <c r="H138" i="455" s="1"/>
  <c r="G132" i="455"/>
  <c r="F132" i="455"/>
  <c r="F138" i="455" s="1"/>
  <c r="E132" i="455"/>
  <c r="E138" i="455"/>
  <c r="D132" i="455"/>
  <c r="I129" i="455"/>
  <c r="H129" i="455"/>
  <c r="G129" i="455"/>
  <c r="G11" i="455" s="1"/>
  <c r="G10" i="455" s="1"/>
  <c r="F129" i="455"/>
  <c r="E129" i="455"/>
  <c r="D129" i="455"/>
  <c r="I128" i="455"/>
  <c r="H128" i="455"/>
  <c r="G128" i="455"/>
  <c r="F128" i="455"/>
  <c r="E128" i="455"/>
  <c r="D128" i="455"/>
  <c r="J126" i="455"/>
  <c r="H126" i="455"/>
  <c r="H127" i="455" s="1"/>
  <c r="D127" i="455"/>
  <c r="I123" i="455"/>
  <c r="H123" i="455"/>
  <c r="G123" i="455"/>
  <c r="F123" i="455"/>
  <c r="F11" i="455" s="1"/>
  <c r="E123" i="455"/>
  <c r="D123" i="455"/>
  <c r="I122" i="455"/>
  <c r="H122" i="455"/>
  <c r="G122" i="455"/>
  <c r="F122" i="455"/>
  <c r="E122" i="455"/>
  <c r="D122" i="455"/>
  <c r="I120" i="455"/>
  <c r="I121" i="455" s="1"/>
  <c r="H120" i="455"/>
  <c r="G120" i="455"/>
  <c r="F120" i="455"/>
  <c r="F121" i="455" s="1"/>
  <c r="E120" i="455"/>
  <c r="E121" i="455" s="1"/>
  <c r="D120" i="455"/>
  <c r="J117" i="455"/>
  <c r="I117" i="455"/>
  <c r="H117" i="455"/>
  <c r="G117" i="455"/>
  <c r="F117" i="455"/>
  <c r="E117" i="455"/>
  <c r="D117" i="455"/>
  <c r="J116" i="455"/>
  <c r="I116" i="455"/>
  <c r="H116" i="455"/>
  <c r="G116" i="455"/>
  <c r="F116" i="455"/>
  <c r="E116" i="455"/>
  <c r="D116" i="455"/>
  <c r="I113" i="455"/>
  <c r="H113" i="455"/>
  <c r="G113" i="455"/>
  <c r="F113" i="455"/>
  <c r="E113" i="455"/>
  <c r="D113" i="455"/>
  <c r="I112" i="455"/>
  <c r="H112" i="455"/>
  <c r="G112" i="455"/>
  <c r="F112" i="455"/>
  <c r="E112" i="455"/>
  <c r="D112" i="455"/>
  <c r="H110" i="455"/>
  <c r="I109" i="455"/>
  <c r="H109" i="455"/>
  <c r="G109" i="455"/>
  <c r="F109" i="455"/>
  <c r="E109" i="455"/>
  <c r="D109" i="455"/>
  <c r="I104" i="455"/>
  <c r="H104" i="455"/>
  <c r="G104" i="455"/>
  <c r="F104" i="455"/>
  <c r="E104" i="455"/>
  <c r="D104" i="455"/>
  <c r="I103" i="455"/>
  <c r="H103" i="455"/>
  <c r="G103" i="455"/>
  <c r="F103" i="455"/>
  <c r="E103" i="455"/>
  <c r="D103" i="455"/>
  <c r="N100" i="455"/>
  <c r="M100" i="455"/>
  <c r="L100" i="455"/>
  <c r="K100" i="455"/>
  <c r="J100" i="455"/>
  <c r="I100" i="455"/>
  <c r="H100" i="455"/>
  <c r="G100" i="455"/>
  <c r="F100" i="455"/>
  <c r="E100" i="455"/>
  <c r="D100" i="455"/>
  <c r="N99" i="455"/>
  <c r="M99" i="455"/>
  <c r="L99" i="455"/>
  <c r="K99" i="455"/>
  <c r="J99" i="455"/>
  <c r="I99" i="455"/>
  <c r="H99" i="455"/>
  <c r="G99" i="455"/>
  <c r="F99" i="455"/>
  <c r="E99" i="455"/>
  <c r="D99" i="455"/>
  <c r="X96" i="455"/>
  <c r="W96" i="455"/>
  <c r="V96" i="455"/>
  <c r="U96" i="455"/>
  <c r="T96" i="455"/>
  <c r="S96" i="455"/>
  <c r="R96" i="455"/>
  <c r="Q96" i="455"/>
  <c r="P96" i="455"/>
  <c r="O96" i="455"/>
  <c r="N96" i="455"/>
  <c r="M96" i="455"/>
  <c r="L96" i="455"/>
  <c r="K96" i="455"/>
  <c r="J96" i="455"/>
  <c r="I96" i="455"/>
  <c r="H96" i="455"/>
  <c r="G96" i="455"/>
  <c r="F96" i="455"/>
  <c r="E96" i="455"/>
  <c r="D96" i="455"/>
  <c r="I95" i="455"/>
  <c r="H95" i="455"/>
  <c r="G95" i="455"/>
  <c r="F95" i="455"/>
  <c r="E95" i="455"/>
  <c r="D95" i="455"/>
  <c r="I94" i="455"/>
  <c r="H94" i="455"/>
  <c r="G94" i="455"/>
  <c r="F94" i="455"/>
  <c r="E94" i="455"/>
  <c r="D94" i="455"/>
  <c r="I93" i="455"/>
  <c r="H93" i="455"/>
  <c r="G93" i="455"/>
  <c r="F93" i="455"/>
  <c r="E93" i="455"/>
  <c r="D93" i="455"/>
  <c r="I92" i="455"/>
  <c r="H92" i="455"/>
  <c r="G92" i="455"/>
  <c r="F92" i="455"/>
  <c r="E92" i="455"/>
  <c r="D92" i="455"/>
  <c r="I91" i="455"/>
  <c r="H91" i="455"/>
  <c r="G91" i="455"/>
  <c r="F91" i="455"/>
  <c r="E91" i="455"/>
  <c r="D91" i="455"/>
  <c r="I89" i="455"/>
  <c r="H89" i="455"/>
  <c r="G89" i="455"/>
  <c r="F89" i="455"/>
  <c r="E89" i="455"/>
  <c r="D89" i="455"/>
  <c r="I87" i="455"/>
  <c r="H87" i="455"/>
  <c r="G87" i="455"/>
  <c r="F87" i="455"/>
  <c r="E87" i="455"/>
  <c r="D87" i="455"/>
  <c r="I84" i="455"/>
  <c r="H84" i="455"/>
  <c r="G84" i="455"/>
  <c r="F84" i="455"/>
  <c r="I83" i="455"/>
  <c r="H83" i="455"/>
  <c r="G83" i="455"/>
  <c r="F83" i="455"/>
  <c r="E83" i="455"/>
  <c r="D83" i="455"/>
  <c r="I82" i="455"/>
  <c r="H82" i="455"/>
  <c r="G82" i="455"/>
  <c r="F82" i="455"/>
  <c r="E82" i="455"/>
  <c r="D82" i="455"/>
  <c r="O81" i="455"/>
  <c r="P81" i="455" s="1"/>
  <c r="Q81" i="455" s="1"/>
  <c r="R81" i="455" s="1"/>
  <c r="S81" i="455" s="1"/>
  <c r="T81" i="455" s="1"/>
  <c r="U81" i="455" s="1"/>
  <c r="V81" i="455" s="1"/>
  <c r="W81" i="455" s="1"/>
  <c r="X81" i="455" s="1"/>
  <c r="J81" i="455"/>
  <c r="I81" i="455"/>
  <c r="H81" i="455"/>
  <c r="G81" i="455"/>
  <c r="F81" i="455"/>
  <c r="E81" i="455"/>
  <c r="D81" i="455"/>
  <c r="I80" i="455"/>
  <c r="H80" i="455"/>
  <c r="G80" i="455"/>
  <c r="F80" i="455"/>
  <c r="E80" i="455"/>
  <c r="D80" i="455"/>
  <c r="I79" i="455"/>
  <c r="H79" i="455"/>
  <c r="G79" i="455"/>
  <c r="F79" i="455"/>
  <c r="E79" i="455"/>
  <c r="D79" i="455"/>
  <c r="I78" i="455"/>
  <c r="H78" i="455"/>
  <c r="G78" i="455"/>
  <c r="F78" i="455"/>
  <c r="E78" i="455"/>
  <c r="D78" i="455"/>
  <c r="I77" i="455"/>
  <c r="H77" i="455"/>
  <c r="G77" i="455"/>
  <c r="F77" i="455"/>
  <c r="E77" i="455"/>
  <c r="D77" i="455"/>
  <c r="O76" i="455"/>
  <c r="P76" i="455"/>
  <c r="Q76" i="455"/>
  <c r="R76" i="455" s="1"/>
  <c r="S76" i="455" s="1"/>
  <c r="T76" i="455" s="1"/>
  <c r="U76" i="455" s="1"/>
  <c r="V76" i="455" s="1"/>
  <c r="W76" i="455" s="1"/>
  <c r="X76" i="455" s="1"/>
  <c r="I76" i="455"/>
  <c r="H76" i="455"/>
  <c r="G76" i="455"/>
  <c r="F76" i="455"/>
  <c r="E76" i="455"/>
  <c r="D76" i="455"/>
  <c r="I75" i="455"/>
  <c r="H75" i="455"/>
  <c r="G75" i="455"/>
  <c r="F75" i="455"/>
  <c r="E75" i="455"/>
  <c r="D75" i="455"/>
  <c r="D71" i="455"/>
  <c r="I70" i="455"/>
  <c r="H70" i="455"/>
  <c r="G70" i="455"/>
  <c r="F70" i="455"/>
  <c r="E70" i="455"/>
  <c r="D70" i="455"/>
  <c r="I69" i="455"/>
  <c r="H69" i="455"/>
  <c r="G69" i="455"/>
  <c r="G72" i="455" s="1"/>
  <c r="F69" i="455"/>
  <c r="E69" i="455"/>
  <c r="D69" i="455"/>
  <c r="D67" i="455"/>
  <c r="M66" i="455"/>
  <c r="K66" i="455"/>
  <c r="I66" i="455"/>
  <c r="E66" i="455"/>
  <c r="U65" i="455"/>
  <c r="Q65" i="455"/>
  <c r="M65" i="455"/>
  <c r="I65" i="455"/>
  <c r="H65" i="455"/>
  <c r="G65" i="455"/>
  <c r="F65" i="455"/>
  <c r="E65" i="455"/>
  <c r="D65" i="455"/>
  <c r="I62" i="455"/>
  <c r="H62" i="455"/>
  <c r="G62" i="455"/>
  <c r="F62" i="455"/>
  <c r="E62" i="455"/>
  <c r="D62" i="455"/>
  <c r="M59" i="455"/>
  <c r="M60" i="455"/>
  <c r="K59" i="455"/>
  <c r="G59" i="455"/>
  <c r="G60" i="455"/>
  <c r="E59" i="455"/>
  <c r="E60" i="455" s="1"/>
  <c r="N17" i="455"/>
  <c r="N18" i="455" s="1"/>
  <c r="M17" i="455"/>
  <c r="L17" i="455"/>
  <c r="K17" i="455"/>
  <c r="J17" i="455"/>
  <c r="I56" i="455"/>
  <c r="I17" i="455"/>
  <c r="H56" i="455"/>
  <c r="G56" i="455"/>
  <c r="F56" i="455"/>
  <c r="E56" i="455"/>
  <c r="E17" i="455"/>
  <c r="D56" i="455"/>
  <c r="D17" i="455" s="1"/>
  <c r="I53" i="455"/>
  <c r="I52" i="455"/>
  <c r="I51" i="455"/>
  <c r="H51" i="455"/>
  <c r="G51" i="455"/>
  <c r="F51" i="455"/>
  <c r="E51" i="455"/>
  <c r="D51" i="455"/>
  <c r="I50" i="455"/>
  <c r="H50" i="455"/>
  <c r="G50" i="455"/>
  <c r="F50" i="455"/>
  <c r="E50" i="455"/>
  <c r="D50" i="455"/>
  <c r="I49" i="455"/>
  <c r="I54" i="455" s="1"/>
  <c r="H49" i="455"/>
  <c r="G49" i="455"/>
  <c r="F49" i="455"/>
  <c r="E49" i="455"/>
  <c r="D49" i="455"/>
  <c r="N35" i="455"/>
  <c r="M35" i="455"/>
  <c r="L35" i="455"/>
  <c r="K35" i="455"/>
  <c r="J35" i="455"/>
  <c r="I35" i="455"/>
  <c r="H35" i="455"/>
  <c r="G35" i="455"/>
  <c r="F35" i="455"/>
  <c r="D35" i="455"/>
  <c r="K29" i="455"/>
  <c r="N23" i="455"/>
  <c r="O23" i="455"/>
  <c r="P23" i="455"/>
  <c r="Q23" i="455" s="1"/>
  <c r="R23" i="455" s="1"/>
  <c r="S23" i="455" s="1"/>
  <c r="T23" i="455" s="1"/>
  <c r="U23" i="455" s="1"/>
  <c r="V23" i="455" s="1"/>
  <c r="W23" i="455" s="1"/>
  <c r="X23" i="455" s="1"/>
  <c r="M23" i="455"/>
  <c r="L23" i="455"/>
  <c r="K23" i="455"/>
  <c r="J23" i="455"/>
  <c r="I23" i="455"/>
  <c r="H23" i="455"/>
  <c r="G23" i="455"/>
  <c r="H17" i="455"/>
  <c r="F17" i="455"/>
  <c r="N14" i="455"/>
  <c r="M14" i="455"/>
  <c r="L14" i="455"/>
  <c r="K14" i="455"/>
  <c r="I14" i="455"/>
  <c r="H14" i="455"/>
  <c r="G14" i="455"/>
  <c r="F14" i="455"/>
  <c r="E14" i="455"/>
  <c r="D14" i="455"/>
  <c r="N12" i="455"/>
  <c r="M12" i="455"/>
  <c r="L12" i="455"/>
  <c r="K12" i="455"/>
  <c r="J12" i="455"/>
  <c r="I12" i="455"/>
  <c r="H12" i="455"/>
  <c r="G12" i="455"/>
  <c r="F12" i="455"/>
  <c r="E12" i="455"/>
  <c r="D12" i="455"/>
  <c r="X4" i="455"/>
  <c r="W4" i="455"/>
  <c r="V4" i="455"/>
  <c r="U4" i="455"/>
  <c r="T4" i="455"/>
  <c r="S4" i="455"/>
  <c r="R4" i="455"/>
  <c r="Q4" i="455"/>
  <c r="P4" i="455"/>
  <c r="O4" i="455"/>
  <c r="N4" i="455"/>
  <c r="M4" i="455"/>
  <c r="L4" i="455"/>
  <c r="K4" i="455"/>
  <c r="J4" i="455"/>
  <c r="I4" i="455"/>
  <c r="H4" i="455"/>
  <c r="G4" i="455"/>
  <c r="F4" i="455"/>
  <c r="E4" i="455"/>
  <c r="D4" i="455"/>
  <c r="C1" i="455"/>
  <c r="K199" i="455" s="1"/>
  <c r="O50" i="432"/>
  <c r="O30" i="432"/>
  <c r="O146" i="432"/>
  <c r="O147" i="432"/>
  <c r="O148" i="432"/>
  <c r="O149" i="432"/>
  <c r="O150" i="432"/>
  <c r="O151" i="432"/>
  <c r="O152" i="432"/>
  <c r="M29" i="455"/>
  <c r="D138" i="455"/>
  <c r="F71" i="455"/>
  <c r="E158" i="455"/>
  <c r="I158" i="455"/>
  <c r="M110" i="455"/>
  <c r="E200" i="455"/>
  <c r="I200" i="455"/>
  <c r="I210" i="455"/>
  <c r="F222" i="455"/>
  <c r="F223" i="455"/>
  <c r="J222" i="455"/>
  <c r="N222" i="455"/>
  <c r="H88" i="455"/>
  <c r="G121" i="455"/>
  <c r="G138" i="455"/>
  <c r="D158" i="455"/>
  <c r="H158" i="455"/>
  <c r="D200" i="455"/>
  <c r="K210" i="455"/>
  <c r="D222" i="455"/>
  <c r="H222" i="455"/>
  <c r="L223" i="455"/>
  <c r="D29" i="455"/>
  <c r="F243" i="455"/>
  <c r="H243" i="455"/>
  <c r="E147" i="455"/>
  <c r="E203" i="455"/>
  <c r="I203" i="455"/>
  <c r="I252" i="455"/>
  <c r="M134" i="455"/>
  <c r="M137" i="455"/>
  <c r="J122" i="455"/>
  <c r="J121" i="455" s="1"/>
  <c r="L87" i="455"/>
  <c r="L86" i="455" s="1"/>
  <c r="N201" i="455"/>
  <c r="N139" i="455"/>
  <c r="M128" i="455"/>
  <c r="M127" i="455" s="1"/>
  <c r="L113" i="455"/>
  <c r="K103" i="455"/>
  <c r="O191" i="455"/>
  <c r="P191" i="455"/>
  <c r="Q191" i="455"/>
  <c r="R191" i="455" s="1"/>
  <c r="S191" i="455" s="1"/>
  <c r="T191" i="455" s="1"/>
  <c r="U191" i="455"/>
  <c r="V191" i="455" s="1"/>
  <c r="W191" i="455" s="1"/>
  <c r="X191" i="455" s="1"/>
  <c r="N110" i="455"/>
  <c r="E11" i="455"/>
  <c r="E10" i="455" s="1"/>
  <c r="E110" i="455"/>
  <c r="E111" i="455"/>
  <c r="G110" i="455"/>
  <c r="G111" i="455" s="1"/>
  <c r="I110" i="455"/>
  <c r="I111" i="455"/>
  <c r="J223" i="455"/>
  <c r="N223" i="455"/>
  <c r="F29" i="455"/>
  <c r="H29" i="455"/>
  <c r="F247" i="455"/>
  <c r="H247" i="455"/>
  <c r="H284" i="455"/>
  <c r="F28" i="455"/>
  <c r="N66" i="455"/>
  <c r="F143" i="455"/>
  <c r="F67" i="455" s="1"/>
  <c r="F68" i="455" s="1"/>
  <c r="F21" i="455" s="1"/>
  <c r="H67" i="455"/>
  <c r="H68" i="455" s="1"/>
  <c r="J143" i="455"/>
  <c r="J67" i="455"/>
  <c r="J68" i="455"/>
  <c r="L143" i="455"/>
  <c r="L67" i="455" s="1"/>
  <c r="L68" i="455" s="1"/>
  <c r="L21" i="455" s="1"/>
  <c r="N143" i="455"/>
  <c r="N67" i="455"/>
  <c r="E145" i="455"/>
  <c r="E71" i="455"/>
  <c r="G145" i="455"/>
  <c r="G71" i="455"/>
  <c r="K145" i="455"/>
  <c r="K71" i="455"/>
  <c r="K72" i="455"/>
  <c r="M145" i="455"/>
  <c r="M71" i="455" s="1"/>
  <c r="M72" i="455" s="1"/>
  <c r="F147" i="455"/>
  <c r="H147" i="455"/>
  <c r="D163" i="455"/>
  <c r="F163" i="455"/>
  <c r="H163" i="455"/>
  <c r="J163" i="455"/>
  <c r="L163" i="455"/>
  <c r="N163" i="455"/>
  <c r="D176" i="455"/>
  <c r="E169" i="455"/>
  <c r="E176" i="455" s="1"/>
  <c r="F169" i="455" s="1"/>
  <c r="F176" i="455" s="1"/>
  <c r="G169" i="455" s="1"/>
  <c r="G176" i="455" s="1"/>
  <c r="H169" i="455" s="1"/>
  <c r="H176" i="455" s="1"/>
  <c r="I169" i="455" s="1"/>
  <c r="I176" i="455" s="1"/>
  <c r="J169" i="455" s="1"/>
  <c r="J176" i="455" s="1"/>
  <c r="K169" i="455" s="1"/>
  <c r="K176" i="455" s="1"/>
  <c r="L169" i="455" s="1"/>
  <c r="L176" i="455" s="1"/>
  <c r="M169" i="455" s="1"/>
  <c r="M176" i="455" s="1"/>
  <c r="N169" i="455" s="1"/>
  <c r="N176" i="455" s="1"/>
  <c r="O169" i="455" s="1"/>
  <c r="O176" i="455" s="1"/>
  <c r="H210" i="455"/>
  <c r="J210" i="455"/>
  <c r="L210" i="455"/>
  <c r="N210" i="455"/>
  <c r="D224" i="455"/>
  <c r="F224" i="455"/>
  <c r="F225" i="455" s="1"/>
  <c r="H224" i="455"/>
  <c r="D255" i="455"/>
  <c r="S110" i="431"/>
  <c r="V112" i="431"/>
  <c r="U110" i="431"/>
  <c r="G147" i="455"/>
  <c r="E222" i="455"/>
  <c r="G222" i="455"/>
  <c r="I222" i="455"/>
  <c r="I223" i="455" s="1"/>
  <c r="K222" i="455"/>
  <c r="M222" i="455"/>
  <c r="D233" i="455"/>
  <c r="F233" i="455"/>
  <c r="J233" i="455"/>
  <c r="L233" i="455"/>
  <c r="N233" i="455"/>
  <c r="E236" i="455"/>
  <c r="E38" i="455"/>
  <c r="G236" i="455"/>
  <c r="I236" i="455"/>
  <c r="I38" i="455"/>
  <c r="K236" i="455"/>
  <c r="K38" i="455" s="1"/>
  <c r="M236" i="455"/>
  <c r="M38" i="455"/>
  <c r="H245" i="455"/>
  <c r="J245" i="455"/>
  <c r="S109" i="431"/>
  <c r="U109" i="431"/>
  <c r="T111" i="431"/>
  <c r="V109" i="431"/>
  <c r="V110" i="431"/>
  <c r="E243" i="455"/>
  <c r="G243" i="455"/>
  <c r="I243" i="455"/>
  <c r="F245" i="455"/>
  <c r="E247" i="455"/>
  <c r="G247" i="455"/>
  <c r="G284" i="455"/>
  <c r="I247" i="455"/>
  <c r="I284" i="455" s="1"/>
  <c r="I274" i="455"/>
  <c r="E250" i="455"/>
  <c r="E283" i="455"/>
  <c r="G250" i="455"/>
  <c r="G283" i="455"/>
  <c r="I250" i="455"/>
  <c r="I283" i="455"/>
  <c r="D61" i="455"/>
  <c r="D21" i="455" s="1"/>
  <c r="D18" i="455"/>
  <c r="F60" i="455"/>
  <c r="F61" i="455"/>
  <c r="F18" i="455" s="1"/>
  <c r="N61" i="455"/>
  <c r="H111" i="455"/>
  <c r="G127" i="455"/>
  <c r="E162" i="455"/>
  <c r="G162" i="455"/>
  <c r="I162" i="455"/>
  <c r="E245" i="455"/>
  <c r="G245" i="455"/>
  <c r="I245" i="455"/>
  <c r="X65" i="455"/>
  <c r="O65" i="455"/>
  <c r="S65" i="455"/>
  <c r="W65" i="455"/>
  <c r="N65" i="455"/>
  <c r="N68" i="455" s="1"/>
  <c r="P65" i="455"/>
  <c r="R65" i="455"/>
  <c r="T65" i="455"/>
  <c r="V65" i="455"/>
  <c r="K162" i="455"/>
  <c r="M162" i="455"/>
  <c r="J54" i="455"/>
  <c r="J8" i="455"/>
  <c r="L54" i="455"/>
  <c r="L8" i="455"/>
  <c r="N54" i="455"/>
  <c r="N55" i="455" s="1"/>
  <c r="N8" i="455"/>
  <c r="L61" i="455"/>
  <c r="K54" i="455"/>
  <c r="K55" i="455"/>
  <c r="M54" i="455"/>
  <c r="M55" i="455" s="1"/>
  <c r="K250" i="455"/>
  <c r="K283" i="455"/>
  <c r="J255" i="455"/>
  <c r="L255" i="455"/>
  <c r="N255" i="455"/>
  <c r="L243" i="455"/>
  <c r="K243" i="455"/>
  <c r="M243" i="455"/>
  <c r="L245" i="455"/>
  <c r="K247" i="455"/>
  <c r="K279" i="455" s="1"/>
  <c r="K284" i="455"/>
  <c r="M247" i="455"/>
  <c r="M279" i="455"/>
  <c r="M250" i="455"/>
  <c r="M283" i="455"/>
  <c r="N243" i="455"/>
  <c r="K245" i="455"/>
  <c r="M245" i="455"/>
  <c r="L247" i="455"/>
  <c r="N247" i="455"/>
  <c r="N279" i="455"/>
  <c r="L250" i="455"/>
  <c r="L283" i="455" s="1"/>
  <c r="N250" i="455"/>
  <c r="N283" i="455"/>
  <c r="K252" i="455"/>
  <c r="M252" i="455"/>
  <c r="I8" i="455"/>
  <c r="I55" i="455"/>
  <c r="M8" i="455"/>
  <c r="O145" i="455"/>
  <c r="P145" i="455" s="1"/>
  <c r="E61" i="455"/>
  <c r="E21" i="455"/>
  <c r="G61" i="455"/>
  <c r="M61" i="455"/>
  <c r="E72" i="455"/>
  <c r="S259" i="455"/>
  <c r="Q259" i="455"/>
  <c r="J203" i="455"/>
  <c r="X259" i="455"/>
  <c r="R259" i="455"/>
  <c r="M203" i="455"/>
  <c r="L147" i="455"/>
  <c r="J147" i="455"/>
  <c r="M147" i="455"/>
  <c r="G68" i="455"/>
  <c r="K68" i="455"/>
  <c r="M68" i="455"/>
  <c r="D72" i="455"/>
  <c r="F72" i="455"/>
  <c r="L72" i="455"/>
  <c r="N72" i="455"/>
  <c r="E266" i="455"/>
  <c r="G266" i="455"/>
  <c r="I266" i="455"/>
  <c r="K266" i="455"/>
  <c r="M266" i="455"/>
  <c r="E271" i="455"/>
  <c r="G271" i="455"/>
  <c r="I271" i="455"/>
  <c r="F276" i="455"/>
  <c r="H276" i="455"/>
  <c r="E281" i="455"/>
  <c r="G281" i="455"/>
  <c r="I281" i="455"/>
  <c r="E274" i="455"/>
  <c r="G279" i="455"/>
  <c r="G269" i="455"/>
  <c r="I269" i="455"/>
  <c r="D162" i="455"/>
  <c r="F162" i="455"/>
  <c r="H162" i="455"/>
  <c r="J162" i="455"/>
  <c r="L162" i="455"/>
  <c r="N162" i="455"/>
  <c r="E163" i="455"/>
  <c r="G163" i="455"/>
  <c r="I163" i="455"/>
  <c r="K163" i="455"/>
  <c r="M163" i="455"/>
  <c r="E223" i="455"/>
  <c r="E225" i="455" s="1"/>
  <c r="G223" i="455"/>
  <c r="I225" i="455"/>
  <c r="F266" i="455"/>
  <c r="H266" i="455"/>
  <c r="J266" i="455"/>
  <c r="L266" i="455"/>
  <c r="N266" i="455"/>
  <c r="H271" i="455"/>
  <c r="G286" i="455"/>
  <c r="E276" i="455"/>
  <c r="G276" i="455"/>
  <c r="I276" i="455"/>
  <c r="F281" i="455"/>
  <c r="H281" i="455"/>
  <c r="F284" i="455"/>
  <c r="F274" i="455"/>
  <c r="H279" i="455"/>
  <c r="H274" i="455"/>
  <c r="J284" i="455"/>
  <c r="J279" i="455"/>
  <c r="J274" i="455"/>
  <c r="J269" i="455"/>
  <c r="J264" i="455"/>
  <c r="E88" i="455"/>
  <c r="G88" i="455"/>
  <c r="I88" i="455"/>
  <c r="O99" i="455"/>
  <c r="O100" i="455" s="1"/>
  <c r="O178" i="455"/>
  <c r="P178" i="455" s="1"/>
  <c r="Q178" i="455" s="1"/>
  <c r="R178" i="455" s="1"/>
  <c r="S178" i="455" s="1"/>
  <c r="T178" i="455" s="1"/>
  <c r="U178" i="455" s="1"/>
  <c r="V178" i="455" s="1"/>
  <c r="W178" i="455" s="1"/>
  <c r="X178" i="455" s="1"/>
  <c r="D223" i="455"/>
  <c r="H223" i="455"/>
  <c r="J225" i="455"/>
  <c r="J227" i="455" s="1"/>
  <c r="G225" i="455"/>
  <c r="O215" i="455"/>
  <c r="P224" i="455"/>
  <c r="Q224" i="455" s="1"/>
  <c r="D236" i="455"/>
  <c r="F236" i="455"/>
  <c r="H236" i="455"/>
  <c r="J236" i="455"/>
  <c r="J38" i="455" s="1"/>
  <c r="L236" i="455"/>
  <c r="N236" i="455"/>
  <c r="E237" i="455"/>
  <c r="G237" i="455"/>
  <c r="I237" i="455"/>
  <c r="K237" i="455"/>
  <c r="M237" i="455"/>
  <c r="N245" i="455"/>
  <c r="F252" i="455"/>
  <c r="J252" i="455"/>
  <c r="L252" i="455"/>
  <c r="N252" i="455"/>
  <c r="E253" i="455"/>
  <c r="G253" i="455"/>
  <c r="I253" i="455"/>
  <c r="K253" i="455"/>
  <c r="M253" i="455"/>
  <c r="E255" i="455"/>
  <c r="G255" i="455"/>
  <c r="G256" i="455" s="1"/>
  <c r="I255" i="455"/>
  <c r="K255" i="455"/>
  <c r="K256" i="455" s="1"/>
  <c r="M255" i="455"/>
  <c r="D253" i="455"/>
  <c r="F253" i="455"/>
  <c r="J253" i="455"/>
  <c r="L253" i="455"/>
  <c r="N253" i="455"/>
  <c r="C27" i="434"/>
  <c r="O147" i="457" s="1"/>
  <c r="P147" i="457" s="1"/>
  <c r="Q147" i="457" s="1"/>
  <c r="R147" i="457" s="1"/>
  <c r="S147" i="457" s="1"/>
  <c r="T147" i="457" s="1"/>
  <c r="U147" i="457" s="1"/>
  <c r="V147" i="457" s="1"/>
  <c r="W147" i="457" s="1"/>
  <c r="X147" i="457" s="1"/>
  <c r="H269" i="455"/>
  <c r="I264" i="455"/>
  <c r="H264" i="455"/>
  <c r="H11" i="455"/>
  <c r="H10" i="455" s="1"/>
  <c r="F20" i="455"/>
  <c r="F19" i="455" s="1"/>
  <c r="F25" i="455" s="1"/>
  <c r="G285" i="455"/>
  <c r="E256" i="455"/>
  <c r="L225" i="455"/>
  <c r="L227" i="455" s="1"/>
  <c r="D225" i="455"/>
  <c r="G264" i="455"/>
  <c r="G274" i="455"/>
  <c r="N21" i="455"/>
  <c r="F10" i="455"/>
  <c r="J55" i="455"/>
  <c r="F22" i="455"/>
  <c r="M264" i="455"/>
  <c r="N274" i="455"/>
  <c r="L55" i="455"/>
  <c r="K8" i="455"/>
  <c r="K9" i="455" s="1"/>
  <c r="L18" i="455"/>
  <c r="L269" i="455"/>
  <c r="M284" i="455"/>
  <c r="N264" i="455"/>
  <c r="N284" i="455"/>
  <c r="K269" i="455"/>
  <c r="O247" i="455"/>
  <c r="O83" i="455" s="1"/>
  <c r="N269" i="455"/>
  <c r="K264" i="455"/>
  <c r="K274" i="455"/>
  <c r="M274" i="455"/>
  <c r="M256" i="455"/>
  <c r="L264" i="455"/>
  <c r="L265" i="455" s="1"/>
  <c r="M269" i="455"/>
  <c r="M21" i="455"/>
  <c r="L36" i="455"/>
  <c r="D227" i="455"/>
  <c r="J228" i="455"/>
  <c r="J30" i="455" s="1"/>
  <c r="F227" i="455"/>
  <c r="F228" i="455"/>
  <c r="F30" i="455" s="1"/>
  <c r="F31" i="455" s="1"/>
  <c r="F43" i="455" s="1"/>
  <c r="F36" i="455"/>
  <c r="L38" i="455"/>
  <c r="H38" i="455"/>
  <c r="D38" i="455"/>
  <c r="I227" i="455"/>
  <c r="N38" i="455"/>
  <c r="F38" i="455"/>
  <c r="P215" i="455"/>
  <c r="Q215" i="455" s="1"/>
  <c r="G227" i="455"/>
  <c r="G228" i="455" s="1"/>
  <c r="G30" i="455" s="1"/>
  <c r="G36" i="455"/>
  <c r="N256" i="455"/>
  <c r="J256" i="455"/>
  <c r="F256" i="455"/>
  <c r="L256" i="455"/>
  <c r="N225" i="455"/>
  <c r="N227" i="455"/>
  <c r="N228" i="455" s="1"/>
  <c r="N30" i="455" s="1"/>
  <c r="M18" i="455"/>
  <c r="E18" i="455"/>
  <c r="O152" i="455"/>
  <c r="O279" i="455"/>
  <c r="O227" i="455"/>
  <c r="N36" i="455"/>
  <c r="R224" i="455"/>
  <c r="S224" i="455" s="1"/>
  <c r="T224" i="455" s="1"/>
  <c r="U224" i="455" s="1"/>
  <c r="V224" i="455" s="1"/>
  <c r="W224" i="455" s="1"/>
  <c r="O145" i="432"/>
  <c r="O141" i="432"/>
  <c r="O142" i="432"/>
  <c r="O143" i="432"/>
  <c r="K6" i="432"/>
  <c r="K10" i="432" s="1"/>
  <c r="L6" i="432"/>
  <c r="M6" i="432"/>
  <c r="I10" i="432"/>
  <c r="J10" i="432"/>
  <c r="L10" i="432"/>
  <c r="X224" i="455"/>
  <c r="I219" i="432"/>
  <c r="J219" i="432"/>
  <c r="K219" i="432"/>
  <c r="L219" i="432"/>
  <c r="M219" i="432"/>
  <c r="N113" i="431"/>
  <c r="P113" i="431"/>
  <c r="R113" i="431"/>
  <c r="Q113" i="431"/>
  <c r="O113" i="431"/>
  <c r="C151" i="432"/>
  <c r="D151" i="432"/>
  <c r="E151" i="432"/>
  <c r="F151" i="432"/>
  <c r="G151" i="432"/>
  <c r="H151" i="432"/>
  <c r="D149" i="432"/>
  <c r="C149" i="432"/>
  <c r="G98" i="431"/>
  <c r="G97" i="431"/>
  <c r="G96" i="431"/>
  <c r="G95" i="431"/>
  <c r="G94" i="431"/>
  <c r="G93" i="431"/>
  <c r="G92" i="431"/>
  <c r="G91" i="431"/>
  <c r="G90" i="431"/>
  <c r="G89" i="431"/>
  <c r="G88" i="431"/>
  <c r="F98" i="431"/>
  <c r="F97" i="431"/>
  <c r="F96" i="431"/>
  <c r="F95" i="431"/>
  <c r="F94" i="431"/>
  <c r="F93" i="431"/>
  <c r="F92" i="431"/>
  <c r="F91" i="431"/>
  <c r="F90" i="431"/>
  <c r="F89" i="431"/>
  <c r="F88" i="431"/>
  <c r="G86" i="431"/>
  <c r="F86" i="431"/>
  <c r="E98" i="431"/>
  <c r="E97" i="431"/>
  <c r="E96" i="431"/>
  <c r="E95" i="431"/>
  <c r="E94" i="431"/>
  <c r="E93" i="431"/>
  <c r="E92" i="431"/>
  <c r="E91" i="431"/>
  <c r="E90" i="431"/>
  <c r="E89" i="431"/>
  <c r="E88" i="431"/>
  <c r="D98" i="431"/>
  <c r="D97" i="431"/>
  <c r="D96" i="431"/>
  <c r="D95" i="431"/>
  <c r="D94" i="431"/>
  <c r="D93" i="431"/>
  <c r="D92" i="431"/>
  <c r="D91" i="431"/>
  <c r="D90" i="431"/>
  <c r="D89" i="431"/>
  <c r="D88" i="431"/>
  <c r="E86" i="431"/>
  <c r="D86" i="431"/>
  <c r="C98" i="431"/>
  <c r="C97" i="431"/>
  <c r="C96" i="431"/>
  <c r="C95" i="431"/>
  <c r="C94" i="431"/>
  <c r="C93" i="431"/>
  <c r="C92" i="431"/>
  <c r="C91" i="431"/>
  <c r="C90" i="431"/>
  <c r="C89" i="431"/>
  <c r="C88" i="431"/>
  <c r="B98" i="431"/>
  <c r="B97" i="431"/>
  <c r="B96" i="431"/>
  <c r="B95" i="431"/>
  <c r="B94" i="431"/>
  <c r="B93" i="431"/>
  <c r="B92" i="431"/>
  <c r="B91" i="431"/>
  <c r="B90" i="431"/>
  <c r="B89" i="431"/>
  <c r="B88" i="431"/>
  <c r="C86" i="431"/>
  <c r="B86" i="431"/>
  <c r="L83" i="440"/>
  <c r="K83" i="440"/>
  <c r="J83" i="440"/>
  <c r="I83" i="440"/>
  <c r="H83" i="440"/>
  <c r="G83" i="440"/>
  <c r="F83" i="440"/>
  <c r="E83" i="440"/>
  <c r="B2" i="440"/>
  <c r="M60" i="440" s="1"/>
  <c r="M54" i="440"/>
  <c r="M52" i="440"/>
  <c r="M59" i="440"/>
  <c r="M57" i="440"/>
  <c r="M51" i="440"/>
  <c r="M49" i="440"/>
  <c r="B4" i="440"/>
  <c r="B45" i="440" s="1"/>
  <c r="B27" i="434"/>
  <c r="K4" i="436"/>
  <c r="L4" i="436"/>
  <c r="L6" i="436" s="1"/>
  <c r="M4" i="436"/>
  <c r="N4" i="436"/>
  <c r="O4" i="436"/>
  <c r="K5" i="436"/>
  <c r="K6" i="436" s="1"/>
  <c r="L5" i="436"/>
  <c r="M5" i="436"/>
  <c r="M6" i="436" s="1"/>
  <c r="N5" i="436"/>
  <c r="J5" i="436"/>
  <c r="J4" i="436"/>
  <c r="J6" i="436" s="1"/>
  <c r="BF147" i="436"/>
  <c r="BE147" i="436"/>
  <c r="BD147" i="436"/>
  <c r="BC147" i="436"/>
  <c r="BB147" i="436"/>
  <c r="BA147" i="436"/>
  <c r="AZ147" i="436"/>
  <c r="AY147" i="436"/>
  <c r="AX147" i="436"/>
  <c r="AW147" i="436"/>
  <c r="AV147" i="436"/>
  <c r="AU147" i="436"/>
  <c r="AT147" i="436"/>
  <c r="AS147" i="436"/>
  <c r="AR147" i="436"/>
  <c r="AQ147" i="436"/>
  <c r="AP147" i="436"/>
  <c r="AO147" i="436"/>
  <c r="AN147" i="436"/>
  <c r="AM147" i="436"/>
  <c r="AL147" i="436"/>
  <c r="AK147" i="436"/>
  <c r="AJ147" i="436"/>
  <c r="AI147" i="436"/>
  <c r="AH147" i="436"/>
  <c r="AG147" i="436"/>
  <c r="AF147" i="436"/>
  <c r="AE147" i="436"/>
  <c r="AD147" i="436"/>
  <c r="AC147" i="436"/>
  <c r="AB147" i="436"/>
  <c r="AA147" i="436"/>
  <c r="Z147" i="436"/>
  <c r="Y147" i="436"/>
  <c r="X147" i="436"/>
  <c r="W147" i="436"/>
  <c r="V147" i="436"/>
  <c r="U147" i="436"/>
  <c r="T147" i="436"/>
  <c r="S147" i="436"/>
  <c r="R147" i="436"/>
  <c r="Q147" i="436"/>
  <c r="P147" i="436"/>
  <c r="O147" i="436"/>
  <c r="N147" i="436"/>
  <c r="M147" i="436"/>
  <c r="L147" i="436"/>
  <c r="K147" i="436"/>
  <c r="J147" i="436"/>
  <c r="I147" i="436"/>
  <c r="H147" i="436"/>
  <c r="G147" i="436"/>
  <c r="F147" i="436"/>
  <c r="E147" i="436"/>
  <c r="D147" i="436"/>
  <c r="C147" i="436"/>
  <c r="BF145" i="436"/>
  <c r="BE145" i="436"/>
  <c r="BD145" i="436"/>
  <c r="BC145" i="436"/>
  <c r="BB145" i="436"/>
  <c r="BA145" i="436"/>
  <c r="AZ145" i="436"/>
  <c r="AY145" i="436"/>
  <c r="AX145" i="436"/>
  <c r="AW145" i="436"/>
  <c r="AV145" i="436"/>
  <c r="AU145" i="436"/>
  <c r="AT145" i="436"/>
  <c r="AS145" i="436"/>
  <c r="AR145" i="436"/>
  <c r="AQ145" i="436"/>
  <c r="AP145" i="436"/>
  <c r="AO145" i="436"/>
  <c r="AN145" i="436"/>
  <c r="AM145" i="436"/>
  <c r="AL145" i="436"/>
  <c r="AK145" i="436"/>
  <c r="AJ145" i="436"/>
  <c r="AI145" i="436"/>
  <c r="AH145" i="436"/>
  <c r="AG145" i="436"/>
  <c r="AF145" i="436"/>
  <c r="AE145" i="436"/>
  <c r="AD145" i="436"/>
  <c r="AC145" i="436"/>
  <c r="AB145" i="436"/>
  <c r="AA145" i="436"/>
  <c r="Z145" i="436"/>
  <c r="Y145" i="436"/>
  <c r="X145" i="436"/>
  <c r="W145" i="436"/>
  <c r="V145" i="436"/>
  <c r="U145" i="436"/>
  <c r="T145" i="436"/>
  <c r="S145" i="436"/>
  <c r="R145" i="436"/>
  <c r="Q145" i="436"/>
  <c r="P145" i="436"/>
  <c r="O145" i="436"/>
  <c r="N145" i="436"/>
  <c r="M145" i="436"/>
  <c r="L145" i="436"/>
  <c r="K145" i="436"/>
  <c r="J145" i="436"/>
  <c r="I145" i="436"/>
  <c r="H145" i="436"/>
  <c r="G145" i="436"/>
  <c r="F145" i="436"/>
  <c r="E145" i="436"/>
  <c r="D145" i="436"/>
  <c r="C145" i="436"/>
  <c r="BF76" i="436"/>
  <c r="BE76" i="436"/>
  <c r="BD76" i="436"/>
  <c r="BC76" i="436"/>
  <c r="BB76" i="436"/>
  <c r="BA76" i="436"/>
  <c r="AZ76" i="436"/>
  <c r="AY76" i="436"/>
  <c r="AX76" i="436"/>
  <c r="AW76" i="436"/>
  <c r="AV76" i="436"/>
  <c r="AU76" i="436"/>
  <c r="AT76" i="436"/>
  <c r="AS76" i="436"/>
  <c r="AR76" i="436"/>
  <c r="AQ76" i="436"/>
  <c r="AP76" i="436"/>
  <c r="AO76" i="436"/>
  <c r="AN76" i="436"/>
  <c r="AM76" i="436"/>
  <c r="AL76" i="436"/>
  <c r="AK76" i="436"/>
  <c r="AJ76" i="436"/>
  <c r="AI76" i="436"/>
  <c r="AH76" i="436"/>
  <c r="AG76" i="436"/>
  <c r="AF76" i="436"/>
  <c r="AE76" i="436"/>
  <c r="AD76" i="436"/>
  <c r="AC76" i="436"/>
  <c r="AB76" i="436"/>
  <c r="AA76" i="436"/>
  <c r="Z76" i="436"/>
  <c r="Y76" i="436"/>
  <c r="X76" i="436"/>
  <c r="W76" i="436"/>
  <c r="V76" i="436"/>
  <c r="U76" i="436"/>
  <c r="T76" i="436"/>
  <c r="S76" i="436"/>
  <c r="R76" i="436"/>
  <c r="Q76" i="436"/>
  <c r="P76" i="436"/>
  <c r="O76" i="436"/>
  <c r="N76" i="436"/>
  <c r="M76" i="436"/>
  <c r="L76" i="436"/>
  <c r="K76" i="436"/>
  <c r="J76" i="436"/>
  <c r="I76" i="436"/>
  <c r="H76" i="436"/>
  <c r="G76" i="436"/>
  <c r="F76" i="436"/>
  <c r="E76" i="436"/>
  <c r="D76" i="436"/>
  <c r="C76" i="436"/>
  <c r="I6" i="436"/>
  <c r="H6" i="436"/>
  <c r="G6" i="436"/>
  <c r="F6" i="436"/>
  <c r="E6" i="436"/>
  <c r="D6" i="436"/>
  <c r="C6" i="436"/>
  <c r="B63" i="434"/>
  <c r="C28" i="434"/>
  <c r="S203" i="457" s="1"/>
  <c r="T203" i="457" s="1"/>
  <c r="U203" i="457" s="1"/>
  <c r="V203" i="457" s="1"/>
  <c r="W203" i="457" s="1"/>
  <c r="X203" i="457" s="1"/>
  <c r="B28" i="434"/>
  <c r="P233" i="432"/>
  <c r="Q233" i="432"/>
  <c r="O257" i="457" s="1"/>
  <c r="P232" i="432"/>
  <c r="Q232" i="432" s="1"/>
  <c r="P227" i="432"/>
  <c r="Q227" i="432"/>
  <c r="P226" i="432"/>
  <c r="Q226" i="432" s="1"/>
  <c r="R226" i="432" s="1"/>
  <c r="H219" i="432"/>
  <c r="G219" i="432"/>
  <c r="E219" i="432"/>
  <c r="C219" i="432"/>
  <c r="O218" i="432"/>
  <c r="F217" i="432"/>
  <c r="F219" i="432" s="1"/>
  <c r="D217" i="432"/>
  <c r="D219" i="432"/>
  <c r="G215" i="432"/>
  <c r="F215" i="432"/>
  <c r="E215" i="432"/>
  <c r="D215" i="432"/>
  <c r="C215" i="432"/>
  <c r="O214" i="432"/>
  <c r="O213" i="432"/>
  <c r="H213" i="432"/>
  <c r="O212" i="432"/>
  <c r="O211" i="432"/>
  <c r="M209" i="432"/>
  <c r="L209" i="432"/>
  <c r="K209" i="432"/>
  <c r="J209" i="432"/>
  <c r="I209" i="432"/>
  <c r="H209" i="432"/>
  <c r="F209" i="432"/>
  <c r="E209" i="432"/>
  <c r="D209" i="432"/>
  <c r="C209" i="432"/>
  <c r="G208" i="432"/>
  <c r="G209" i="432" s="1"/>
  <c r="O207" i="432"/>
  <c r="O204" i="432"/>
  <c r="O202" i="432"/>
  <c r="M201" i="432"/>
  <c r="L201" i="432"/>
  <c r="K201" i="432"/>
  <c r="J201" i="432"/>
  <c r="I201" i="432"/>
  <c r="H201" i="432"/>
  <c r="G201" i="432"/>
  <c r="F201" i="432"/>
  <c r="E201" i="432"/>
  <c r="D201" i="432"/>
  <c r="C201" i="432"/>
  <c r="O200" i="432"/>
  <c r="O199" i="432"/>
  <c r="O198" i="432"/>
  <c r="O196" i="432"/>
  <c r="O195" i="432"/>
  <c r="O194" i="432"/>
  <c r="O193" i="432"/>
  <c r="M191" i="432"/>
  <c r="L191" i="432"/>
  <c r="K191" i="432"/>
  <c r="J191" i="432"/>
  <c r="I191" i="432"/>
  <c r="H191" i="432"/>
  <c r="G191" i="432"/>
  <c r="F191" i="432"/>
  <c r="E191" i="432"/>
  <c r="D191" i="432"/>
  <c r="C191" i="432"/>
  <c r="O189" i="432"/>
  <c r="O188" i="432"/>
  <c r="O187" i="432"/>
  <c r="O186" i="432"/>
  <c r="O185" i="432"/>
  <c r="O184" i="432"/>
  <c r="O182" i="432"/>
  <c r="M180" i="432"/>
  <c r="L180" i="432"/>
  <c r="K180" i="432"/>
  <c r="J180" i="432"/>
  <c r="I180" i="432"/>
  <c r="H180" i="432"/>
  <c r="G180" i="432"/>
  <c r="F180" i="432"/>
  <c r="E180" i="432"/>
  <c r="D180" i="432"/>
  <c r="C180" i="432"/>
  <c r="O179" i="432"/>
  <c r="O178" i="432"/>
  <c r="O177" i="432"/>
  <c r="O176" i="432"/>
  <c r="O175" i="432"/>
  <c r="O173" i="432"/>
  <c r="O172" i="432"/>
  <c r="O171" i="432"/>
  <c r="M167" i="432"/>
  <c r="L167" i="432"/>
  <c r="K167" i="432"/>
  <c r="J167" i="432"/>
  <c r="I167" i="432"/>
  <c r="H167" i="432"/>
  <c r="G167" i="432"/>
  <c r="F167" i="432"/>
  <c r="E167" i="432"/>
  <c r="D167" i="432"/>
  <c r="C167" i="432"/>
  <c r="O166" i="432"/>
  <c r="O165" i="432"/>
  <c r="O164" i="432"/>
  <c r="O163" i="432"/>
  <c r="O162" i="432"/>
  <c r="M159" i="432"/>
  <c r="L159" i="432"/>
  <c r="K159" i="432"/>
  <c r="J159" i="432"/>
  <c r="I159" i="432"/>
  <c r="H159" i="432"/>
  <c r="G159" i="432"/>
  <c r="F159" i="432"/>
  <c r="E159" i="432"/>
  <c r="D159" i="432"/>
  <c r="C159" i="432"/>
  <c r="O158" i="432"/>
  <c r="O157" i="432"/>
  <c r="O156" i="432"/>
  <c r="O155" i="432"/>
  <c r="O144" i="432"/>
  <c r="O140" i="432"/>
  <c r="M138" i="432"/>
  <c r="L138" i="432"/>
  <c r="K138" i="432"/>
  <c r="J138" i="432"/>
  <c r="I138" i="432"/>
  <c r="H138" i="432"/>
  <c r="G138" i="432"/>
  <c r="F138" i="432"/>
  <c r="E138" i="432"/>
  <c r="D138" i="432"/>
  <c r="C138" i="432"/>
  <c r="O137" i="432"/>
  <c r="O136" i="432"/>
  <c r="M133" i="432"/>
  <c r="L133" i="432"/>
  <c r="K133" i="432"/>
  <c r="J133" i="432"/>
  <c r="I133" i="432"/>
  <c r="H133" i="432"/>
  <c r="O132" i="432"/>
  <c r="G132" i="432"/>
  <c r="F132" i="432"/>
  <c r="E132" i="432"/>
  <c r="D132" i="432"/>
  <c r="C132" i="432"/>
  <c r="O131" i="432"/>
  <c r="G131" i="432"/>
  <c r="F131" i="432"/>
  <c r="E131" i="432"/>
  <c r="D131" i="432"/>
  <c r="C131" i="432"/>
  <c r="C133" i="432" s="1"/>
  <c r="O130" i="432"/>
  <c r="O129" i="432"/>
  <c r="O128" i="432"/>
  <c r="O127" i="432"/>
  <c r="O126" i="432"/>
  <c r="O124" i="432"/>
  <c r="M122" i="432"/>
  <c r="L122" i="432"/>
  <c r="K122" i="432"/>
  <c r="J122" i="432"/>
  <c r="I122" i="432"/>
  <c r="H122" i="432"/>
  <c r="G122" i="432"/>
  <c r="F122" i="432"/>
  <c r="E122" i="432"/>
  <c r="D122" i="432"/>
  <c r="C122" i="432"/>
  <c r="M120" i="432"/>
  <c r="L120" i="432"/>
  <c r="K120" i="432"/>
  <c r="J120" i="432"/>
  <c r="I120" i="432"/>
  <c r="H120" i="432"/>
  <c r="G120" i="432"/>
  <c r="F120" i="432"/>
  <c r="E120" i="432"/>
  <c r="D120" i="432"/>
  <c r="C120" i="432"/>
  <c r="M117" i="432"/>
  <c r="L117" i="432"/>
  <c r="K117" i="432"/>
  <c r="J117" i="432"/>
  <c r="I117" i="432"/>
  <c r="H117" i="432"/>
  <c r="G117" i="432"/>
  <c r="F117" i="432"/>
  <c r="E117" i="432"/>
  <c r="D117" i="432"/>
  <c r="C117" i="432"/>
  <c r="O115" i="432"/>
  <c r="O114" i="432"/>
  <c r="O113" i="432"/>
  <c r="O111" i="432"/>
  <c r="O110" i="432"/>
  <c r="M109" i="432"/>
  <c r="L109" i="432"/>
  <c r="K109" i="432"/>
  <c r="J109" i="432"/>
  <c r="I109" i="432"/>
  <c r="H109" i="432"/>
  <c r="G109" i="432"/>
  <c r="F109" i="432"/>
  <c r="O108" i="432"/>
  <c r="O107" i="432"/>
  <c r="E107" i="432"/>
  <c r="D107" i="432"/>
  <c r="C107" i="432"/>
  <c r="C109" i="432" s="1"/>
  <c r="M105" i="432"/>
  <c r="L105" i="432"/>
  <c r="K105" i="432"/>
  <c r="J105" i="432"/>
  <c r="I105" i="432"/>
  <c r="H105" i="432"/>
  <c r="G105" i="432"/>
  <c r="F105" i="432"/>
  <c r="E105" i="432"/>
  <c r="D105" i="432"/>
  <c r="C105" i="432"/>
  <c r="O104" i="432"/>
  <c r="O103" i="432"/>
  <c r="O102" i="432"/>
  <c r="O100" i="432"/>
  <c r="M98" i="432"/>
  <c r="L98" i="432"/>
  <c r="K98" i="432"/>
  <c r="J98" i="432"/>
  <c r="I98" i="432"/>
  <c r="H98" i="432"/>
  <c r="G98" i="432"/>
  <c r="F98" i="432"/>
  <c r="E98" i="432"/>
  <c r="D98" i="432"/>
  <c r="C98" i="432"/>
  <c r="O96" i="432"/>
  <c r="M94" i="432"/>
  <c r="L94" i="432"/>
  <c r="K94" i="432"/>
  <c r="J94" i="432"/>
  <c r="I94" i="432"/>
  <c r="H94" i="432"/>
  <c r="G94" i="432"/>
  <c r="F94" i="432"/>
  <c r="E94" i="432"/>
  <c r="D94" i="432"/>
  <c r="C94" i="432"/>
  <c r="O92" i="432"/>
  <c r="O90" i="432"/>
  <c r="M89" i="432"/>
  <c r="M91" i="432"/>
  <c r="L89" i="432"/>
  <c r="L91" i="432" s="1"/>
  <c r="K89" i="432"/>
  <c r="K91" i="432"/>
  <c r="J89" i="432"/>
  <c r="J91" i="432" s="1"/>
  <c r="I89" i="432"/>
  <c r="I91" i="432"/>
  <c r="H89" i="432"/>
  <c r="H91" i="432" s="1"/>
  <c r="G89" i="432"/>
  <c r="G91" i="432"/>
  <c r="F89" i="432"/>
  <c r="F91" i="432" s="1"/>
  <c r="E89" i="432"/>
  <c r="E91" i="432"/>
  <c r="D89" i="432"/>
  <c r="D91" i="432" s="1"/>
  <c r="C89" i="432"/>
  <c r="C91" i="432"/>
  <c r="M87" i="432"/>
  <c r="L87" i="432"/>
  <c r="K87" i="432"/>
  <c r="J87" i="432"/>
  <c r="I87" i="432"/>
  <c r="H87" i="432"/>
  <c r="G87" i="432"/>
  <c r="F87" i="432"/>
  <c r="E87" i="432"/>
  <c r="D87" i="432"/>
  <c r="C87" i="432"/>
  <c r="O86" i="432"/>
  <c r="O85" i="432"/>
  <c r="M84" i="432"/>
  <c r="L84" i="432"/>
  <c r="K84" i="432"/>
  <c r="J84" i="432"/>
  <c r="I84" i="432"/>
  <c r="H84" i="432"/>
  <c r="G84" i="432"/>
  <c r="F84" i="432"/>
  <c r="E84" i="432"/>
  <c r="D84" i="432"/>
  <c r="C84" i="432"/>
  <c r="O83" i="432"/>
  <c r="O82" i="432"/>
  <c r="M80" i="432"/>
  <c r="L80" i="432"/>
  <c r="K80" i="432"/>
  <c r="J80" i="432"/>
  <c r="I80" i="432"/>
  <c r="H80" i="432"/>
  <c r="G80" i="432"/>
  <c r="F80" i="432"/>
  <c r="E80" i="432"/>
  <c r="D80" i="432"/>
  <c r="C80" i="432"/>
  <c r="M78" i="432"/>
  <c r="L78" i="432"/>
  <c r="K78" i="432"/>
  <c r="J78" i="432"/>
  <c r="I78" i="432"/>
  <c r="H78" i="432"/>
  <c r="G78" i="432"/>
  <c r="F78" i="432"/>
  <c r="E78" i="432"/>
  <c r="D78" i="432"/>
  <c r="C78" i="432"/>
  <c r="O77" i="432"/>
  <c r="O75" i="432"/>
  <c r="O73" i="432"/>
  <c r="O72" i="432"/>
  <c r="M70" i="432"/>
  <c r="L70" i="432"/>
  <c r="K70" i="432"/>
  <c r="J70" i="432"/>
  <c r="I70" i="432"/>
  <c r="H70" i="432"/>
  <c r="G70" i="432"/>
  <c r="F70" i="432"/>
  <c r="E70" i="432"/>
  <c r="D70" i="432"/>
  <c r="C70" i="432"/>
  <c r="O69" i="432"/>
  <c r="O67" i="432"/>
  <c r="O66" i="432"/>
  <c r="O65" i="432"/>
  <c r="O64" i="432"/>
  <c r="O62" i="432"/>
  <c r="O61" i="432"/>
  <c r="O59" i="432"/>
  <c r="O58" i="432"/>
  <c r="M56" i="432"/>
  <c r="L56" i="432"/>
  <c r="K56" i="432"/>
  <c r="J56" i="432"/>
  <c r="I56" i="432"/>
  <c r="H56" i="432"/>
  <c r="G56" i="432"/>
  <c r="F56" i="432"/>
  <c r="E56" i="432"/>
  <c r="D56" i="432"/>
  <c r="C56" i="432"/>
  <c r="O55" i="432"/>
  <c r="O54" i="432"/>
  <c r="O53" i="432"/>
  <c r="O52" i="432"/>
  <c r="O49" i="432"/>
  <c r="O48" i="432"/>
  <c r="O47" i="432"/>
  <c r="O46" i="432"/>
  <c r="O45" i="432"/>
  <c r="O44" i="432"/>
  <c r="O43" i="432"/>
  <c r="O42" i="432"/>
  <c r="O41" i="432"/>
  <c r="O40" i="432"/>
  <c r="O39" i="432"/>
  <c r="M37" i="432"/>
  <c r="L37" i="432"/>
  <c r="K37" i="432"/>
  <c r="J37" i="432"/>
  <c r="I37" i="432"/>
  <c r="H37" i="432"/>
  <c r="G37" i="432"/>
  <c r="F37" i="432"/>
  <c r="E37" i="432"/>
  <c r="D37" i="432"/>
  <c r="C37" i="432"/>
  <c r="O36" i="432"/>
  <c r="O34" i="432"/>
  <c r="O33" i="432"/>
  <c r="O32" i="432"/>
  <c r="O31" i="432"/>
  <c r="O29" i="432"/>
  <c r="O28" i="432"/>
  <c r="O27" i="432"/>
  <c r="O26" i="432"/>
  <c r="O25" i="432"/>
  <c r="O23" i="432"/>
  <c r="O22" i="432"/>
  <c r="O21" i="432"/>
  <c r="O20" i="432"/>
  <c r="M18" i="432"/>
  <c r="L18" i="432"/>
  <c r="K18" i="432"/>
  <c r="J18" i="432"/>
  <c r="I18" i="432"/>
  <c r="H18" i="432"/>
  <c r="G18" i="432"/>
  <c r="F18" i="432"/>
  <c r="E18" i="432"/>
  <c r="D18" i="432"/>
  <c r="C18" i="432"/>
  <c r="O16" i="432"/>
  <c r="O15" i="432"/>
  <c r="O14" i="432"/>
  <c r="D12" i="432"/>
  <c r="O11" i="432"/>
  <c r="H10" i="432"/>
  <c r="G10" i="432"/>
  <c r="F10" i="432"/>
  <c r="E10" i="432"/>
  <c r="D10" i="432"/>
  <c r="C10" i="432"/>
  <c r="O9" i="432"/>
  <c r="O7" i="432"/>
  <c r="O249" i="457"/>
  <c r="O250" i="457"/>
  <c r="O283" i="457" s="1"/>
  <c r="O249" i="455"/>
  <c r="O250" i="455"/>
  <c r="O283" i="455"/>
  <c r="O5" i="436"/>
  <c r="D133" i="432"/>
  <c r="F133" i="432"/>
  <c r="R233" i="432"/>
  <c r="P257" i="457" s="1"/>
  <c r="Q257" i="457" s="1"/>
  <c r="R257" i="457" s="1"/>
  <c r="S257" i="457" s="1"/>
  <c r="T257" i="457" s="1"/>
  <c r="U257" i="457" s="1"/>
  <c r="V257" i="457" s="1"/>
  <c r="W257" i="457" s="1"/>
  <c r="X257" i="457" s="1"/>
  <c r="E109" i="432"/>
  <c r="P4" i="436"/>
  <c r="N6" i="436"/>
  <c r="I215" i="432"/>
  <c r="P249" i="457"/>
  <c r="P250" i="457" s="1"/>
  <c r="P283" i="457" s="1"/>
  <c r="P249" i="455"/>
  <c r="P250" i="455" s="1"/>
  <c r="P283" i="455" s="1"/>
  <c r="O251" i="457"/>
  <c r="Q4" i="436"/>
  <c r="Q249" i="455" s="1"/>
  <c r="Q250" i="455"/>
  <c r="Q283" i="455" s="1"/>
  <c r="R4" i="436"/>
  <c r="G108" i="431"/>
  <c r="G107" i="431"/>
  <c r="G106" i="431"/>
  <c r="G105" i="431"/>
  <c r="G104" i="431"/>
  <c r="G103" i="431"/>
  <c r="K69" i="431"/>
  <c r="J69" i="431"/>
  <c r="I69" i="431"/>
  <c r="H69" i="431"/>
  <c r="G69" i="431"/>
  <c r="F69" i="431"/>
  <c r="E69" i="431"/>
  <c r="D69" i="431"/>
  <c r="C69" i="431"/>
  <c r="B69" i="431"/>
  <c r="M68" i="431"/>
  <c r="L68" i="431"/>
  <c r="M67" i="431"/>
  <c r="L67" i="431"/>
  <c r="M66" i="431"/>
  <c r="L66" i="431"/>
  <c r="M65" i="431"/>
  <c r="L65" i="431"/>
  <c r="M64" i="431"/>
  <c r="L64" i="431"/>
  <c r="M63" i="431"/>
  <c r="L63" i="431"/>
  <c r="M62" i="431"/>
  <c r="L62" i="431"/>
  <c r="M61" i="431"/>
  <c r="L61" i="431"/>
  <c r="M60" i="431"/>
  <c r="L60" i="431"/>
  <c r="M59" i="431"/>
  <c r="L59" i="431"/>
  <c r="M58" i="431"/>
  <c r="L58" i="431"/>
  <c r="M57" i="431"/>
  <c r="L57" i="431"/>
  <c r="M56" i="431"/>
  <c r="L56" i="431"/>
  <c r="M55" i="431"/>
  <c r="L55" i="431"/>
  <c r="M54" i="431"/>
  <c r="L54" i="431"/>
  <c r="M53" i="431"/>
  <c r="L53" i="431"/>
  <c r="M52" i="431"/>
  <c r="L52" i="431"/>
  <c r="V106" i="455" s="1"/>
  <c r="M51" i="431"/>
  <c r="L51" i="431"/>
  <c r="BI17" i="431"/>
  <c r="BH17" i="431"/>
  <c r="BG17" i="431"/>
  <c r="BF17" i="431"/>
  <c r="BE17" i="431"/>
  <c r="BD17" i="431"/>
  <c r="BC17" i="431"/>
  <c r="BB17" i="431"/>
  <c r="BA17" i="431"/>
  <c r="AZ17" i="431"/>
  <c r="AY17" i="431"/>
  <c r="AX17" i="431"/>
  <c r="AW17" i="431"/>
  <c r="AV17" i="431"/>
  <c r="AU17" i="431"/>
  <c r="AT17" i="431"/>
  <c r="AS17" i="431"/>
  <c r="AR17" i="431"/>
  <c r="AQ17" i="431"/>
  <c r="AP17" i="431"/>
  <c r="AO17" i="431"/>
  <c r="AN17" i="431"/>
  <c r="AM17" i="431"/>
  <c r="AL17" i="431"/>
  <c r="AK17" i="431"/>
  <c r="AJ17" i="431"/>
  <c r="AI17" i="431"/>
  <c r="AH17" i="431"/>
  <c r="AG17" i="431"/>
  <c r="AF17" i="431"/>
  <c r="AE17" i="431"/>
  <c r="AD17" i="431"/>
  <c r="AC17" i="431"/>
  <c r="AB17" i="431"/>
  <c r="AA17" i="431"/>
  <c r="Z17" i="431"/>
  <c r="Y17" i="431"/>
  <c r="X17" i="431"/>
  <c r="W17" i="431"/>
  <c r="V17" i="431"/>
  <c r="U17" i="431"/>
  <c r="T17" i="431"/>
  <c r="S17" i="431"/>
  <c r="R17" i="431"/>
  <c r="Q17" i="431"/>
  <c r="P17" i="431"/>
  <c r="O17" i="431"/>
  <c r="N17" i="431"/>
  <c r="M17" i="431"/>
  <c r="L17" i="431"/>
  <c r="K17" i="431"/>
  <c r="J17" i="431"/>
  <c r="I17" i="431"/>
  <c r="H17" i="431"/>
  <c r="M6" i="431"/>
  <c r="L6" i="431"/>
  <c r="K6" i="431"/>
  <c r="J6" i="431"/>
  <c r="I6" i="431"/>
  <c r="H6" i="431"/>
  <c r="G6" i="431"/>
  <c r="F6" i="431"/>
  <c r="E6" i="431"/>
  <c r="X106" i="455"/>
  <c r="T106" i="455"/>
  <c r="R106" i="455"/>
  <c r="P106" i="455"/>
  <c r="L106" i="455"/>
  <c r="J106" i="455"/>
  <c r="H106" i="455"/>
  <c r="D106" i="455"/>
  <c r="W106" i="455"/>
  <c r="U106" i="455"/>
  <c r="Q106" i="455"/>
  <c r="O106" i="455"/>
  <c r="M106" i="455"/>
  <c r="I106" i="455"/>
  <c r="G106" i="455"/>
  <c r="E106" i="455"/>
  <c r="U105" i="455"/>
  <c r="M105" i="455"/>
  <c r="E105" i="455"/>
  <c r="R105" i="455"/>
  <c r="N105" i="455"/>
  <c r="L69" i="431"/>
  <c r="S113" i="431"/>
  <c r="O203" i="455" s="1"/>
  <c r="O204" i="455"/>
  <c r="P204" i="455" s="1"/>
  <c r="T113" i="431"/>
  <c r="P203" i="457" s="1"/>
  <c r="P203" i="455"/>
  <c r="D225" i="406"/>
  <c r="D224" i="406"/>
  <c r="D223" i="406"/>
  <c r="D222" i="406"/>
  <c r="D221" i="406"/>
  <c r="D220" i="406"/>
  <c r="D219" i="406"/>
  <c r="D218" i="406"/>
  <c r="D217" i="406"/>
  <c r="D216" i="406"/>
  <c r="D215" i="406"/>
  <c r="D214" i="406"/>
  <c r="D213" i="406"/>
  <c r="D212" i="406"/>
  <c r="D211" i="406"/>
  <c r="D210" i="406"/>
  <c r="D209" i="406"/>
  <c r="D208" i="406"/>
  <c r="D207" i="406"/>
  <c r="D206" i="406"/>
  <c r="D205" i="406"/>
  <c r="D204" i="406"/>
  <c r="D203" i="406"/>
  <c r="K202" i="406"/>
  <c r="J202" i="406"/>
  <c r="I202" i="406"/>
  <c r="H202" i="406"/>
  <c r="G202" i="406"/>
  <c r="F202" i="406"/>
  <c r="E202" i="406"/>
  <c r="D202" i="406"/>
  <c r="K201" i="406"/>
  <c r="J201" i="406"/>
  <c r="I201" i="406"/>
  <c r="H201" i="406"/>
  <c r="G201" i="406"/>
  <c r="F201" i="406"/>
  <c r="E201" i="406"/>
  <c r="D201" i="406"/>
  <c r="K200" i="406"/>
  <c r="J200" i="406"/>
  <c r="I200" i="406"/>
  <c r="H200" i="406"/>
  <c r="G200" i="406"/>
  <c r="F200" i="406"/>
  <c r="E200" i="406"/>
  <c r="D200" i="406"/>
  <c r="K199" i="406"/>
  <c r="J199" i="406"/>
  <c r="I199" i="406"/>
  <c r="H199" i="406"/>
  <c r="G199" i="406"/>
  <c r="F199" i="406"/>
  <c r="E199" i="406"/>
  <c r="D199" i="406"/>
  <c r="K198" i="406"/>
  <c r="J198" i="406"/>
  <c r="I198" i="406"/>
  <c r="H198" i="406"/>
  <c r="G198" i="406"/>
  <c r="F198" i="406"/>
  <c r="E198" i="406"/>
  <c r="D198" i="406"/>
  <c r="K197" i="406"/>
  <c r="J197" i="406"/>
  <c r="I197" i="406"/>
  <c r="H197" i="406"/>
  <c r="G197" i="406"/>
  <c r="F197" i="406"/>
  <c r="E197" i="406"/>
  <c r="D197" i="406"/>
  <c r="BF194" i="406"/>
  <c r="BE194" i="406"/>
  <c r="BD194" i="406"/>
  <c r="BC194" i="406"/>
  <c r="BB194" i="406"/>
  <c r="BA194" i="406"/>
  <c r="AZ194" i="406"/>
  <c r="AY194" i="406"/>
  <c r="AX194" i="406"/>
  <c r="AW194" i="406"/>
  <c r="AV194" i="406"/>
  <c r="AU194" i="406"/>
  <c r="AT194" i="406"/>
  <c r="AS194" i="406"/>
  <c r="AR194" i="406"/>
  <c r="AQ194" i="406"/>
  <c r="AP194" i="406"/>
  <c r="AO194" i="406"/>
  <c r="AN194" i="406"/>
  <c r="AM194" i="406"/>
  <c r="AL194" i="406"/>
  <c r="AK194" i="406"/>
  <c r="AJ194" i="406"/>
  <c r="AI194" i="406"/>
  <c r="AH194" i="406"/>
  <c r="AG194" i="406"/>
  <c r="AF194" i="406"/>
  <c r="AE194" i="406"/>
  <c r="AD194" i="406"/>
  <c r="AC194" i="406"/>
  <c r="AB194" i="406"/>
  <c r="AA194" i="406"/>
  <c r="Z194" i="406"/>
  <c r="Y194" i="406"/>
  <c r="X194" i="406"/>
  <c r="W194" i="406"/>
  <c r="V194" i="406"/>
  <c r="U194" i="406"/>
  <c r="T194" i="406"/>
  <c r="S194" i="406"/>
  <c r="R194" i="406"/>
  <c r="Q194" i="406"/>
  <c r="P194" i="406"/>
  <c r="O194" i="406"/>
  <c r="N194" i="406"/>
  <c r="M194" i="406"/>
  <c r="L194" i="406"/>
  <c r="K194" i="406"/>
  <c r="J194" i="406"/>
  <c r="I194" i="406"/>
  <c r="H194" i="406"/>
  <c r="G194" i="406"/>
  <c r="F194" i="406"/>
  <c r="E194" i="406"/>
  <c r="D194" i="406"/>
  <c r="C194" i="406"/>
  <c r="BF100" i="406"/>
  <c r="BE100" i="406"/>
  <c r="BD100" i="406"/>
  <c r="BC100" i="406"/>
  <c r="BB100" i="406"/>
  <c r="BA100" i="406"/>
  <c r="AZ100" i="406"/>
  <c r="AY100" i="406"/>
  <c r="AX100" i="406"/>
  <c r="AW100" i="406"/>
  <c r="AV100" i="406"/>
  <c r="AU100" i="406"/>
  <c r="AT100" i="406"/>
  <c r="AS100" i="406"/>
  <c r="AR100" i="406"/>
  <c r="AQ100" i="406"/>
  <c r="AP100" i="406"/>
  <c r="AO100" i="406"/>
  <c r="AN100" i="406"/>
  <c r="AM100" i="406"/>
  <c r="AL100" i="406"/>
  <c r="AK100" i="406"/>
  <c r="AJ100" i="406"/>
  <c r="AI100" i="406"/>
  <c r="AH100" i="406"/>
  <c r="AG100" i="406"/>
  <c r="AF100" i="406"/>
  <c r="AE100" i="406"/>
  <c r="AD100" i="406"/>
  <c r="AC100" i="406"/>
  <c r="AB100" i="406"/>
  <c r="AA100" i="406"/>
  <c r="Z100" i="406"/>
  <c r="Y100" i="406"/>
  <c r="X100" i="406"/>
  <c r="W100" i="406"/>
  <c r="V100" i="406"/>
  <c r="U100" i="406"/>
  <c r="T100" i="406"/>
  <c r="S100" i="406"/>
  <c r="R100" i="406"/>
  <c r="Q100" i="406"/>
  <c r="P100" i="406"/>
  <c r="O100" i="406"/>
  <c r="N100" i="406"/>
  <c r="M100" i="406"/>
  <c r="L100" i="406"/>
  <c r="K100" i="406"/>
  <c r="J100" i="406"/>
  <c r="I100" i="406"/>
  <c r="H100" i="406"/>
  <c r="G100" i="406"/>
  <c r="F100" i="406"/>
  <c r="E100" i="406"/>
  <c r="D100" i="406"/>
  <c r="C100" i="406"/>
  <c r="BF6" i="406"/>
  <c r="BE6" i="406"/>
  <c r="BD6" i="406"/>
  <c r="BC6" i="406"/>
  <c r="BB6" i="406"/>
  <c r="BA6" i="406"/>
  <c r="AZ6" i="406"/>
  <c r="AY6" i="406"/>
  <c r="AX6" i="406"/>
  <c r="AW6" i="406"/>
  <c r="AV6" i="406"/>
  <c r="AU6" i="406"/>
  <c r="AT6" i="406"/>
  <c r="AS6" i="406"/>
  <c r="AR6" i="406"/>
  <c r="AQ6" i="406"/>
  <c r="AP6" i="406"/>
  <c r="AO6" i="406"/>
  <c r="AN6" i="406"/>
  <c r="AM6" i="406"/>
  <c r="AL6" i="406"/>
  <c r="AK6" i="406"/>
  <c r="AJ6" i="406"/>
  <c r="AI6" i="406"/>
  <c r="AH6" i="406"/>
  <c r="AG6" i="406"/>
  <c r="AF6" i="406"/>
  <c r="AE6" i="406"/>
  <c r="AD6" i="406"/>
  <c r="AC6" i="406"/>
  <c r="AB6" i="406"/>
  <c r="AA6" i="406"/>
  <c r="Z6" i="406"/>
  <c r="Y6" i="406"/>
  <c r="X6" i="406"/>
  <c r="W6" i="406"/>
  <c r="V6" i="406"/>
  <c r="U6" i="406"/>
  <c r="T6" i="406"/>
  <c r="S6" i="406"/>
  <c r="R6" i="406"/>
  <c r="Q6" i="406"/>
  <c r="P6" i="406"/>
  <c r="O6" i="406"/>
  <c r="N6" i="406"/>
  <c r="M6" i="406"/>
  <c r="L6" i="406"/>
  <c r="K6" i="406"/>
  <c r="J6" i="406"/>
  <c r="I6" i="406"/>
  <c r="H6" i="406"/>
  <c r="G6" i="406"/>
  <c r="F6" i="406"/>
  <c r="E6" i="406"/>
  <c r="D6" i="406"/>
  <c r="C6" i="406"/>
  <c r="B24" i="402"/>
  <c r="J284" i="457" l="1"/>
  <c r="J269" i="457"/>
  <c r="J279" i="457"/>
  <c r="J264" i="457"/>
  <c r="J274" i="457"/>
  <c r="J285" i="457"/>
  <c r="J286" i="457"/>
  <c r="J352" i="457"/>
  <c r="J361" i="457" s="1"/>
  <c r="L55" i="457"/>
  <c r="L8" i="457"/>
  <c r="N264" i="457"/>
  <c r="N284" i="457"/>
  <c r="O247" i="457"/>
  <c r="O109" i="457" s="1"/>
  <c r="O79" i="455"/>
  <c r="Q145" i="455"/>
  <c r="O158" i="457"/>
  <c r="K339" i="457"/>
  <c r="K343" i="457" s="1"/>
  <c r="L339" i="457" s="1"/>
  <c r="K318" i="457"/>
  <c r="K319" i="457" s="1"/>
  <c r="J343" i="457"/>
  <c r="L253" i="457"/>
  <c r="L250" i="457"/>
  <c r="L283" i="457" s="1"/>
  <c r="K54" i="457"/>
  <c r="M21" i="457"/>
  <c r="M200" i="457"/>
  <c r="K138" i="457"/>
  <c r="K286" i="457" s="1"/>
  <c r="K247" i="457"/>
  <c r="K264" i="457" s="1"/>
  <c r="K255" i="457"/>
  <c r="M268" i="457"/>
  <c r="N328" i="457"/>
  <c r="N318" i="457" s="1"/>
  <c r="N319" i="457" s="1"/>
  <c r="J340" i="457"/>
  <c r="K253" i="457"/>
  <c r="M245" i="457"/>
  <c r="J54" i="457"/>
  <c r="Q105" i="455"/>
  <c r="R273" i="455" s="1"/>
  <c r="I105" i="455"/>
  <c r="V105" i="455"/>
  <c r="V273" i="455" s="1"/>
  <c r="J105" i="455"/>
  <c r="F105" i="455"/>
  <c r="G278" i="457"/>
  <c r="G280" i="457" s="1"/>
  <c r="G278" i="455"/>
  <c r="G280" i="455" s="1"/>
  <c r="K278" i="457"/>
  <c r="K278" i="455"/>
  <c r="G263" i="457"/>
  <c r="G265" i="457" s="1"/>
  <c r="G263" i="455"/>
  <c r="G265" i="455" s="1"/>
  <c r="K263" i="457"/>
  <c r="K263" i="455"/>
  <c r="K265" i="455" s="1"/>
  <c r="O221" i="455"/>
  <c r="W105" i="455"/>
  <c r="W273" i="455" s="1"/>
  <c r="O252" i="457"/>
  <c r="O253" i="457"/>
  <c r="O251" i="455"/>
  <c r="P5" i="436"/>
  <c r="O6" i="436"/>
  <c r="B63" i="440"/>
  <c r="M45" i="440"/>
  <c r="K268" i="457"/>
  <c r="J86" i="457"/>
  <c r="M342" i="457"/>
  <c r="H278" i="457"/>
  <c r="H280" i="457" s="1"/>
  <c r="H278" i="455"/>
  <c r="H280" i="455" s="1"/>
  <c r="H263" i="457"/>
  <c r="H265" i="457" s="1"/>
  <c r="H263" i="455"/>
  <c r="H265" i="455" s="1"/>
  <c r="H268" i="455"/>
  <c r="H270" i="455" s="1"/>
  <c r="P105" i="455"/>
  <c r="T105" i="455"/>
  <c r="U273" i="455" s="1"/>
  <c r="G105" i="455"/>
  <c r="O105" i="455"/>
  <c r="K106" i="455"/>
  <c r="S106" i="455"/>
  <c r="F106" i="455"/>
  <c r="N106" i="455"/>
  <c r="N273" i="455" s="1"/>
  <c r="V106" i="457"/>
  <c r="R106" i="457"/>
  <c r="X106" i="457"/>
  <c r="S106" i="457"/>
  <c r="N106" i="457"/>
  <c r="J106" i="457"/>
  <c r="F106" i="457"/>
  <c r="W106" i="457"/>
  <c r="Q106" i="457"/>
  <c r="M106" i="457"/>
  <c r="I106" i="457"/>
  <c r="E106" i="457"/>
  <c r="U106" i="457"/>
  <c r="P106" i="457"/>
  <c r="L106" i="457"/>
  <c r="H106" i="457"/>
  <c r="D106" i="457"/>
  <c r="O106" i="457"/>
  <c r="K106" i="457"/>
  <c r="G106" i="457"/>
  <c r="T106" i="457"/>
  <c r="Q249" i="457"/>
  <c r="Q250" i="457" s="1"/>
  <c r="Q283" i="457" s="1"/>
  <c r="O254" i="457"/>
  <c r="O77" i="457" s="1"/>
  <c r="O254" i="455"/>
  <c r="R232" i="432"/>
  <c r="P79" i="455"/>
  <c r="O78" i="455"/>
  <c r="H85" i="457"/>
  <c r="H86" i="457" s="1"/>
  <c r="H85" i="455"/>
  <c r="H86" i="455" s="1"/>
  <c r="D85" i="457"/>
  <c r="D85" i="455"/>
  <c r="I228" i="455"/>
  <c r="I30" i="455" s="1"/>
  <c r="I36" i="455"/>
  <c r="I285" i="455"/>
  <c r="G38" i="455"/>
  <c r="M223" i="455"/>
  <c r="M225" i="455" s="1"/>
  <c r="E278" i="457"/>
  <c r="E280" i="457" s="1"/>
  <c r="E278" i="455"/>
  <c r="I278" i="457"/>
  <c r="I280" i="457" s="1"/>
  <c r="I278" i="455"/>
  <c r="E263" i="457"/>
  <c r="E265" i="457" s="1"/>
  <c r="E263" i="455"/>
  <c r="I263" i="457"/>
  <c r="I265" i="457" s="1"/>
  <c r="I263" i="455"/>
  <c r="I265" i="455" s="1"/>
  <c r="I268" i="455"/>
  <c r="I270" i="455" s="1"/>
  <c r="O203" i="457"/>
  <c r="O204" i="457"/>
  <c r="P204" i="457" s="1"/>
  <c r="O221" i="457"/>
  <c r="W105" i="457"/>
  <c r="S105" i="457"/>
  <c r="S273" i="457" s="1"/>
  <c r="O105" i="457"/>
  <c r="O273" i="457" s="1"/>
  <c r="K105" i="457"/>
  <c r="G105" i="457"/>
  <c r="V105" i="457"/>
  <c r="V273" i="457" s="1"/>
  <c r="R105" i="457"/>
  <c r="R273" i="457" s="1"/>
  <c r="N105" i="457"/>
  <c r="J105" i="457"/>
  <c r="F105" i="457"/>
  <c r="F273" i="457" s="1"/>
  <c r="F275" i="457" s="1"/>
  <c r="U105" i="457"/>
  <c r="U273" i="457" s="1"/>
  <c r="Q105" i="457"/>
  <c r="M105" i="457"/>
  <c r="I105" i="457"/>
  <c r="I273" i="457" s="1"/>
  <c r="I275" i="457" s="1"/>
  <c r="E105" i="457"/>
  <c r="T105" i="457"/>
  <c r="D105" i="457"/>
  <c r="P105" i="457"/>
  <c r="P273" i="457" s="1"/>
  <c r="L105" i="457"/>
  <c r="L273" i="457" s="1"/>
  <c r="L275" i="457" s="1"/>
  <c r="X105" i="457"/>
  <c r="H105" i="457"/>
  <c r="R249" i="455"/>
  <c r="R250" i="455" s="1"/>
  <c r="R283" i="455" s="1"/>
  <c r="R249" i="457"/>
  <c r="R250" i="457" s="1"/>
  <c r="R283" i="457" s="1"/>
  <c r="S4" i="436"/>
  <c r="I217" i="457"/>
  <c r="I59" i="457" s="1"/>
  <c r="I217" i="455"/>
  <c r="I59" i="455" s="1"/>
  <c r="L215" i="432"/>
  <c r="K215" i="432"/>
  <c r="M215" i="432"/>
  <c r="H215" i="432"/>
  <c r="M268" i="455"/>
  <c r="D84" i="457"/>
  <c r="D84" i="455"/>
  <c r="E268" i="455" s="1"/>
  <c r="E270" i="455" s="1"/>
  <c r="P169" i="455"/>
  <c r="P176" i="455" s="1"/>
  <c r="Q169" i="455" s="1"/>
  <c r="Q176" i="455" s="1"/>
  <c r="R169" i="455" s="1"/>
  <c r="R176" i="455" s="1"/>
  <c r="S169" i="455" s="1"/>
  <c r="S176" i="455" s="1"/>
  <c r="T169" i="455" s="1"/>
  <c r="T176" i="455" s="1"/>
  <c r="U169" i="455" s="1"/>
  <c r="U176" i="455" s="1"/>
  <c r="V169" i="455" s="1"/>
  <c r="V176" i="455" s="1"/>
  <c r="W169" i="455" s="1"/>
  <c r="W176" i="455" s="1"/>
  <c r="X169" i="455" s="1"/>
  <c r="X176" i="455" s="1"/>
  <c r="O179" i="455"/>
  <c r="O183" i="455"/>
  <c r="D20" i="455"/>
  <c r="D19" i="455" s="1"/>
  <c r="D121" i="455"/>
  <c r="H121" i="455"/>
  <c r="H286" i="455"/>
  <c r="H20" i="455"/>
  <c r="H19" i="455" s="1"/>
  <c r="F286" i="455"/>
  <c r="E127" i="455"/>
  <c r="E286" i="455"/>
  <c r="I127" i="455"/>
  <c r="I286" i="455"/>
  <c r="I20" i="455"/>
  <c r="I19" i="455" s="1"/>
  <c r="D196" i="455"/>
  <c r="D110" i="455"/>
  <c r="D111" i="455" s="1"/>
  <c r="F278" i="457"/>
  <c r="F280" i="457" s="1"/>
  <c r="F278" i="455"/>
  <c r="J278" i="457"/>
  <c r="J280" i="457" s="1"/>
  <c r="J278" i="455"/>
  <c r="F263" i="457"/>
  <c r="F265" i="457" s="1"/>
  <c r="F263" i="455"/>
  <c r="J263" i="457"/>
  <c r="J263" i="455"/>
  <c r="J265" i="455" s="1"/>
  <c r="M69" i="431"/>
  <c r="D105" i="455"/>
  <c r="E273" i="455" s="1"/>
  <c r="E275" i="455" s="1"/>
  <c r="H105" i="455"/>
  <c r="H273" i="455" s="1"/>
  <c r="H275" i="455" s="1"/>
  <c r="L105" i="455"/>
  <c r="L273" i="455" s="1"/>
  <c r="X105" i="455"/>
  <c r="X273" i="455" s="1"/>
  <c r="K105" i="455"/>
  <c r="K273" i="455" s="1"/>
  <c r="S105" i="455"/>
  <c r="S273" i="455" s="1"/>
  <c r="O255" i="457"/>
  <c r="O256" i="457" s="1"/>
  <c r="J215" i="432"/>
  <c r="E23" i="457"/>
  <c r="E23" i="455"/>
  <c r="D109" i="432"/>
  <c r="D52" i="457"/>
  <c r="D54" i="457" s="1"/>
  <c r="D8" i="457" s="1"/>
  <c r="D9" i="457" s="1"/>
  <c r="D13" i="457" s="1"/>
  <c r="D15" i="457" s="1"/>
  <c r="D41" i="457" s="1"/>
  <c r="D52" i="455"/>
  <c r="H52" i="457"/>
  <c r="H52" i="455"/>
  <c r="G133" i="432"/>
  <c r="F53" i="457"/>
  <c r="F53" i="455"/>
  <c r="E133" i="432"/>
  <c r="O242" i="457"/>
  <c r="R227" i="432"/>
  <c r="P242" i="457" s="1"/>
  <c r="F23" i="457"/>
  <c r="F23" i="455"/>
  <c r="F24" i="455" s="1"/>
  <c r="F42" i="455" s="1"/>
  <c r="E52" i="457"/>
  <c r="E54" i="457" s="1"/>
  <c r="E52" i="455"/>
  <c r="G53" i="457"/>
  <c r="G53" i="455"/>
  <c r="M47" i="440"/>
  <c r="M53" i="440"/>
  <c r="M61" i="440"/>
  <c r="M56" i="440"/>
  <c r="E84" i="457"/>
  <c r="E86" i="457" s="1"/>
  <c r="E84" i="455"/>
  <c r="F268" i="455" s="1"/>
  <c r="F270" i="455" s="1"/>
  <c r="G85" i="457"/>
  <c r="G85" i="455"/>
  <c r="O151" i="455"/>
  <c r="F52" i="457"/>
  <c r="F54" i="457" s="1"/>
  <c r="F52" i="455"/>
  <c r="F54" i="455" s="1"/>
  <c r="D53" i="457"/>
  <c r="D53" i="455"/>
  <c r="H53" i="457"/>
  <c r="H53" i="455"/>
  <c r="H54" i="455" s="1"/>
  <c r="C2" i="440"/>
  <c r="M48" i="440"/>
  <c r="M55" i="440"/>
  <c r="M50" i="440"/>
  <c r="F85" i="457"/>
  <c r="F86" i="457" s="1"/>
  <c r="F85" i="455"/>
  <c r="G268" i="455" s="1"/>
  <c r="G270" i="455" s="1"/>
  <c r="R145" i="455"/>
  <c r="E227" i="455"/>
  <c r="E228" i="455"/>
  <c r="E30" i="455" s="1"/>
  <c r="E36" i="455"/>
  <c r="H225" i="455"/>
  <c r="D23" i="457"/>
  <c r="D23" i="455"/>
  <c r="G52" i="457"/>
  <c r="G52" i="455"/>
  <c r="G54" i="455" s="1"/>
  <c r="E53" i="457"/>
  <c r="E53" i="455"/>
  <c r="I85" i="457"/>
  <c r="I86" i="457" s="1"/>
  <c r="I85" i="455"/>
  <c r="I86" i="455" s="1"/>
  <c r="E85" i="457"/>
  <c r="E85" i="455"/>
  <c r="E86" i="455" s="1"/>
  <c r="N62" i="457"/>
  <c r="N62" i="455"/>
  <c r="M10" i="432"/>
  <c r="R215" i="455"/>
  <c r="O80" i="455"/>
  <c r="O246" i="455"/>
  <c r="O284" i="455"/>
  <c r="O84" i="455"/>
  <c r="P84" i="455" s="1"/>
  <c r="P247" i="455"/>
  <c r="P227" i="455" s="1"/>
  <c r="O85" i="455"/>
  <c r="O208" i="455"/>
  <c r="P208" i="455" s="1"/>
  <c r="O154" i="455"/>
  <c r="O82" i="455"/>
  <c r="P82" i="455" s="1"/>
  <c r="O264" i="455"/>
  <c r="O60" i="455"/>
  <c r="P60" i="455" s="1"/>
  <c r="O209" i="455"/>
  <c r="P209" i="455" s="1"/>
  <c r="O223" i="455"/>
  <c r="P223" i="455" s="1"/>
  <c r="O211" i="455"/>
  <c r="O153" i="455"/>
  <c r="P153" i="455" s="1"/>
  <c r="O274" i="455"/>
  <c r="O109" i="455"/>
  <c r="O269" i="455"/>
  <c r="O217" i="455"/>
  <c r="O207" i="455"/>
  <c r="F86" i="455"/>
  <c r="H60" i="455"/>
  <c r="H61" i="455" s="1"/>
  <c r="M38" i="457"/>
  <c r="O122" i="457"/>
  <c r="P121" i="457"/>
  <c r="M62" i="455"/>
  <c r="M9" i="455" s="1"/>
  <c r="M62" i="457"/>
  <c r="P99" i="455"/>
  <c r="P100" i="455" s="1"/>
  <c r="J36" i="455"/>
  <c r="D228" i="455"/>
  <c r="D30" i="455" s="1"/>
  <c r="D36" i="455"/>
  <c r="K223" i="455"/>
  <c r="K225" i="455" s="1"/>
  <c r="F269" i="455"/>
  <c r="F279" i="455"/>
  <c r="F264" i="455"/>
  <c r="M87" i="455"/>
  <c r="M123" i="455"/>
  <c r="L136" i="455"/>
  <c r="N104" i="455"/>
  <c r="K132" i="455"/>
  <c r="G17" i="455"/>
  <c r="K60" i="455"/>
  <c r="K61" i="455" s="1"/>
  <c r="F271" i="455"/>
  <c r="E20" i="455"/>
  <c r="E19" i="455" s="1"/>
  <c r="G20" i="455"/>
  <c r="G19" i="455" s="1"/>
  <c r="I11" i="455"/>
  <c r="I10" i="455" s="1"/>
  <c r="J145" i="455"/>
  <c r="J71" i="455" s="1"/>
  <c r="J72" i="455" s="1"/>
  <c r="J9" i="455" s="1"/>
  <c r="I29" i="455"/>
  <c r="I145" i="455"/>
  <c r="I71" i="455" s="1"/>
  <c r="I72" i="455" s="1"/>
  <c r="I9" i="455" s="1"/>
  <c r="V111" i="431"/>
  <c r="V113" i="431" s="1"/>
  <c r="U111" i="431"/>
  <c r="U113" i="431" s="1"/>
  <c r="Q133" i="457"/>
  <c r="O143" i="455"/>
  <c r="O148" i="455"/>
  <c r="P148" i="455" s="1"/>
  <c r="Q148" i="455" s="1"/>
  <c r="R148" i="455" s="1"/>
  <c r="S148" i="455" s="1"/>
  <c r="T148" i="455" s="1"/>
  <c r="U148" i="455" s="1"/>
  <c r="V148" i="455" s="1"/>
  <c r="W148" i="455" s="1"/>
  <c r="X148" i="455" s="1"/>
  <c r="J104" i="455"/>
  <c r="K122" i="455"/>
  <c r="N133" i="455"/>
  <c r="O133" i="455" s="1"/>
  <c r="P133" i="455" s="1"/>
  <c r="Q133" i="455" s="1"/>
  <c r="R133" i="455" s="1"/>
  <c r="S133" i="455" s="1"/>
  <c r="T133" i="455" s="1"/>
  <c r="U133" i="455" s="1"/>
  <c r="V133" i="455" s="1"/>
  <c r="W133" i="455" s="1"/>
  <c r="X133" i="455" s="1"/>
  <c r="K113" i="455"/>
  <c r="J134" i="455"/>
  <c r="J60" i="455"/>
  <c r="J61" i="455"/>
  <c r="J21" i="455" s="1"/>
  <c r="H285" i="455"/>
  <c r="H253" i="455"/>
  <c r="H252" i="455"/>
  <c r="H255" i="455"/>
  <c r="N17" i="457"/>
  <c r="N55" i="457"/>
  <c r="P169" i="457"/>
  <c r="P176" i="457" s="1"/>
  <c r="Q169" i="457" s="1"/>
  <c r="Q176" i="457" s="1"/>
  <c r="R169" i="457" s="1"/>
  <c r="R176" i="457" s="1"/>
  <c r="S169" i="457" s="1"/>
  <c r="O183" i="457"/>
  <c r="O179" i="457"/>
  <c r="P179" i="457" s="1"/>
  <c r="Q179" i="457" s="1"/>
  <c r="R179" i="457" s="1"/>
  <c r="L62" i="457"/>
  <c r="L62" i="455"/>
  <c r="L9" i="455" s="1"/>
  <c r="L284" i="455"/>
  <c r="L279" i="455"/>
  <c r="L274" i="455"/>
  <c r="E284" i="455"/>
  <c r="E285" i="455" s="1"/>
  <c r="E269" i="455"/>
  <c r="E279" i="455"/>
  <c r="E264" i="455"/>
  <c r="O147" i="455"/>
  <c r="P147" i="455" s="1"/>
  <c r="Q147" i="455" s="1"/>
  <c r="R147" i="455" s="1"/>
  <c r="S147" i="455" s="1"/>
  <c r="T147" i="455" s="1"/>
  <c r="U147" i="455" s="1"/>
  <c r="V147" i="455" s="1"/>
  <c r="W147" i="455" s="1"/>
  <c r="X147" i="455" s="1"/>
  <c r="M201" i="455"/>
  <c r="K133" i="455"/>
  <c r="K135" i="455"/>
  <c r="K137" i="455"/>
  <c r="J139" i="455"/>
  <c r="L128" i="455"/>
  <c r="L127" i="455" s="1"/>
  <c r="L129" i="455"/>
  <c r="L122" i="455"/>
  <c r="L123" i="455"/>
  <c r="M113" i="455"/>
  <c r="L104" i="455"/>
  <c r="M89" i="455"/>
  <c r="L199" i="455"/>
  <c r="J199" i="455"/>
  <c r="L133" i="455"/>
  <c r="L135" i="455"/>
  <c r="L137" i="455"/>
  <c r="J137" i="455"/>
  <c r="M129" i="455"/>
  <c r="M122" i="455"/>
  <c r="J123" i="455"/>
  <c r="M199" i="455"/>
  <c r="M132" i="455"/>
  <c r="M138" i="455" s="1"/>
  <c r="M135" i="455"/>
  <c r="K139" i="455"/>
  <c r="J132" i="455"/>
  <c r="N129" i="455"/>
  <c r="N122" i="455"/>
  <c r="K112" i="455"/>
  <c r="J113" i="455"/>
  <c r="J103" i="455"/>
  <c r="N87" i="455"/>
  <c r="L132" i="455"/>
  <c r="L134" i="455"/>
  <c r="N136" i="455"/>
  <c r="O136" i="455" s="1"/>
  <c r="P136" i="455" s="1"/>
  <c r="Q136" i="455" s="1"/>
  <c r="R136" i="455" s="1"/>
  <c r="S136" i="455" s="1"/>
  <c r="T136" i="455" s="1"/>
  <c r="U136" i="455" s="1"/>
  <c r="V136" i="455" s="1"/>
  <c r="W136" i="455" s="1"/>
  <c r="X136" i="455" s="1"/>
  <c r="J135" i="455"/>
  <c r="L112" i="455"/>
  <c r="N113" i="455"/>
  <c r="M103" i="455"/>
  <c r="L89" i="455"/>
  <c r="J87" i="455"/>
  <c r="K268" i="455" s="1"/>
  <c r="W259" i="455"/>
  <c r="N203" i="455"/>
  <c r="V259" i="455"/>
  <c r="K203" i="455"/>
  <c r="K147" i="455"/>
  <c r="O248" i="455"/>
  <c r="P248" i="455" s="1"/>
  <c r="Q248" i="455" s="1"/>
  <c r="R248" i="455" s="1"/>
  <c r="S248" i="455" s="1"/>
  <c r="T248" i="455" s="1"/>
  <c r="U248" i="455" s="1"/>
  <c r="V248" i="455" s="1"/>
  <c r="W248" i="455" s="1"/>
  <c r="X248" i="455" s="1"/>
  <c r="K201" i="455"/>
  <c r="M133" i="455"/>
  <c r="K136" i="455"/>
  <c r="M139" i="455"/>
  <c r="J128" i="455"/>
  <c r="M112" i="455"/>
  <c r="L103" i="455"/>
  <c r="K89" i="455"/>
  <c r="N199" i="455"/>
  <c r="N132" i="455"/>
  <c r="N134" i="455"/>
  <c r="O134" i="455" s="1"/>
  <c r="P134" i="455" s="1"/>
  <c r="Q134" i="455" s="1"/>
  <c r="R134" i="455" s="1"/>
  <c r="S134" i="455" s="1"/>
  <c r="T134" i="455" s="1"/>
  <c r="U134" i="455" s="1"/>
  <c r="V134" i="455" s="1"/>
  <c r="W134" i="455" s="1"/>
  <c r="X134" i="455" s="1"/>
  <c r="N137" i="455"/>
  <c r="O137" i="455" s="1"/>
  <c r="P137" i="455" s="1"/>
  <c r="Q137" i="455" s="1"/>
  <c r="R137" i="455" s="1"/>
  <c r="S137" i="455" s="1"/>
  <c r="T137" i="455" s="1"/>
  <c r="U137" i="455" s="1"/>
  <c r="V137" i="455" s="1"/>
  <c r="W137" i="455" s="1"/>
  <c r="X137" i="455" s="1"/>
  <c r="J133" i="455"/>
  <c r="K129" i="455"/>
  <c r="N112" i="455"/>
  <c r="J112" i="455"/>
  <c r="K104" i="455"/>
  <c r="N89" i="455"/>
  <c r="P257" i="455"/>
  <c r="U259" i="455"/>
  <c r="L203" i="455"/>
  <c r="T259" i="455"/>
  <c r="N147" i="455"/>
  <c r="J201" i="455"/>
  <c r="K134" i="455"/>
  <c r="M136" i="455"/>
  <c r="J136" i="455"/>
  <c r="N128" i="455"/>
  <c r="N127" i="455" s="1"/>
  <c r="O127" i="455" s="1"/>
  <c r="P127" i="455" s="1"/>
  <c r="Q127" i="455" s="1"/>
  <c r="R127" i="455" s="1"/>
  <c r="S127" i="455" s="1"/>
  <c r="T127" i="455" s="1"/>
  <c r="U127" i="455" s="1"/>
  <c r="V127" i="455" s="1"/>
  <c r="W127" i="455" s="1"/>
  <c r="X127" i="455" s="1"/>
  <c r="N123" i="455"/>
  <c r="N103" i="455"/>
  <c r="J89" i="455"/>
  <c r="L201" i="455"/>
  <c r="N135" i="455"/>
  <c r="O135" i="455" s="1"/>
  <c r="P135" i="455" s="1"/>
  <c r="Q135" i="455" s="1"/>
  <c r="R135" i="455" s="1"/>
  <c r="S135" i="455" s="1"/>
  <c r="T135" i="455" s="1"/>
  <c r="U135" i="455" s="1"/>
  <c r="V135" i="455" s="1"/>
  <c r="W135" i="455" s="1"/>
  <c r="X135" i="455" s="1"/>
  <c r="L139" i="455"/>
  <c r="K128" i="455"/>
  <c r="K127" i="455" s="1"/>
  <c r="J129" i="455"/>
  <c r="K123" i="455"/>
  <c r="M104" i="455"/>
  <c r="K87" i="455"/>
  <c r="L271" i="455" s="1"/>
  <c r="S203" i="455"/>
  <c r="T203" i="455" s="1"/>
  <c r="U203" i="455" s="1"/>
  <c r="V203" i="455" s="1"/>
  <c r="W203" i="455" s="1"/>
  <c r="X203" i="455" s="1"/>
  <c r="Q257" i="455"/>
  <c r="R257" i="455" s="1"/>
  <c r="S257" i="455" s="1"/>
  <c r="T257" i="455" s="1"/>
  <c r="U257" i="455" s="1"/>
  <c r="V257" i="455" s="1"/>
  <c r="W257" i="455" s="1"/>
  <c r="X257" i="455" s="1"/>
  <c r="O242" i="455"/>
  <c r="O257" i="455"/>
  <c r="G86" i="455"/>
  <c r="D28" i="455"/>
  <c r="D31" i="455" s="1"/>
  <c r="D43" i="455" s="1"/>
  <c r="G28" i="455"/>
  <c r="I28" i="455"/>
  <c r="I31" i="455" s="1"/>
  <c r="I43" i="455" s="1"/>
  <c r="E28" i="455"/>
  <c r="E31" i="455" s="1"/>
  <c r="E43" i="455" s="1"/>
  <c r="H237" i="455"/>
  <c r="H233" i="455"/>
  <c r="F285" i="455"/>
  <c r="M163" i="457"/>
  <c r="M162" i="457"/>
  <c r="D88" i="455"/>
  <c r="D11" i="455"/>
  <c r="D10" i="455" s="1"/>
  <c r="P193" i="455"/>
  <c r="O66" i="455"/>
  <c r="H203" i="455"/>
  <c r="G233" i="455"/>
  <c r="G29" i="455"/>
  <c r="S132" i="457"/>
  <c r="J143" i="457"/>
  <c r="J67" i="457" s="1"/>
  <c r="J68" i="457" s="1"/>
  <c r="J21" i="457" s="1"/>
  <c r="J224" i="457"/>
  <c r="J225" i="457" s="1"/>
  <c r="K143" i="457"/>
  <c r="K67" i="457" s="1"/>
  <c r="K68" i="457" s="1"/>
  <c r="K21" i="457" s="1"/>
  <c r="J233" i="457"/>
  <c r="J236" i="457"/>
  <c r="O223" i="457"/>
  <c r="O269" i="457"/>
  <c r="O152" i="457"/>
  <c r="O80" i="457"/>
  <c r="O79" i="457"/>
  <c r="O209" i="457"/>
  <c r="O207" i="457"/>
  <c r="O284" i="457"/>
  <c r="O264" i="457"/>
  <c r="O85" i="457"/>
  <c r="O84" i="457"/>
  <c r="O78" i="457"/>
  <c r="O211" i="457"/>
  <c r="O246" i="457"/>
  <c r="O279" i="457"/>
  <c r="O83" i="457"/>
  <c r="O82" i="457"/>
  <c r="O274" i="457"/>
  <c r="O60" i="457"/>
  <c r="O153" i="457"/>
  <c r="P247" i="457"/>
  <c r="O217" i="457"/>
  <c r="O154" i="457"/>
  <c r="O151" i="457"/>
  <c r="N160" i="455"/>
  <c r="O160" i="455" s="1"/>
  <c r="P160" i="455" s="1"/>
  <c r="N158" i="455"/>
  <c r="O158" i="455" s="1"/>
  <c r="P158" i="455" s="1"/>
  <c r="N157" i="455"/>
  <c r="O157" i="455" s="1"/>
  <c r="N159" i="455"/>
  <c r="O159" i="455" s="1"/>
  <c r="L228" i="455"/>
  <c r="L30" i="455" s="1"/>
  <c r="I279" i="455"/>
  <c r="P143" i="455"/>
  <c r="I143" i="455"/>
  <c r="I67" i="455" s="1"/>
  <c r="I68" i="455" s="1"/>
  <c r="E160" i="455"/>
  <c r="E159" i="455"/>
  <c r="E157" i="455"/>
  <c r="F110" i="455"/>
  <c r="F111" i="455" s="1"/>
  <c r="J110" i="455"/>
  <c r="G210" i="455"/>
  <c r="E233" i="455"/>
  <c r="V263" i="457"/>
  <c r="V263" i="455"/>
  <c r="R263" i="457"/>
  <c r="R263" i="455"/>
  <c r="N263" i="457"/>
  <c r="N265" i="457" s="1"/>
  <c r="N263" i="455"/>
  <c r="N265" i="455" s="1"/>
  <c r="W278" i="457"/>
  <c r="S278" i="457"/>
  <c r="O278" i="457"/>
  <c r="I268" i="457"/>
  <c r="E268" i="457"/>
  <c r="E270" i="457" s="1"/>
  <c r="O227" i="457"/>
  <c r="N233" i="457"/>
  <c r="N143" i="457"/>
  <c r="N236" i="457"/>
  <c r="N35" i="457"/>
  <c r="L227" i="457"/>
  <c r="L228" i="457" s="1"/>
  <c r="L30" i="457" s="1"/>
  <c r="U171" i="457"/>
  <c r="T65" i="457"/>
  <c r="R103" i="457"/>
  <c r="Q276" i="457"/>
  <c r="J145" i="457"/>
  <c r="J71" i="457" s="1"/>
  <c r="J72" i="457" s="1"/>
  <c r="J29" i="457"/>
  <c r="K145" i="457"/>
  <c r="K71" i="457" s="1"/>
  <c r="K72" i="457" s="1"/>
  <c r="S215" i="457"/>
  <c r="F88" i="455"/>
  <c r="H145" i="455"/>
  <c r="H71" i="455" s="1"/>
  <c r="H72" i="455" s="1"/>
  <c r="F160" i="455"/>
  <c r="F159" i="455"/>
  <c r="F158" i="455"/>
  <c r="F157" i="455"/>
  <c r="U263" i="457"/>
  <c r="U263" i="455"/>
  <c r="Q263" i="457"/>
  <c r="Q263" i="455"/>
  <c r="M263" i="457"/>
  <c r="M265" i="457" s="1"/>
  <c r="M263" i="455"/>
  <c r="M265" i="455" s="1"/>
  <c r="V278" i="457"/>
  <c r="V278" i="455"/>
  <c r="R278" i="457"/>
  <c r="R278" i="455"/>
  <c r="N278" i="457"/>
  <c r="N278" i="455"/>
  <c r="L268" i="457"/>
  <c r="H268" i="457"/>
  <c r="H270" i="457" s="1"/>
  <c r="M29" i="457"/>
  <c r="N145" i="457"/>
  <c r="V224" i="457"/>
  <c r="O157" i="457"/>
  <c r="H189" i="457"/>
  <c r="H196" i="457" s="1"/>
  <c r="G184" i="457"/>
  <c r="G182" i="457" s="1"/>
  <c r="G185" i="457" s="1"/>
  <c r="O208" i="457"/>
  <c r="P208" i="457" s="1"/>
  <c r="E33" i="457"/>
  <c r="E212" i="457"/>
  <c r="E39" i="457" s="1"/>
  <c r="E25" i="457"/>
  <c r="E22" i="457"/>
  <c r="E24" i="457" s="1"/>
  <c r="E42" i="457" s="1"/>
  <c r="U278" i="457"/>
  <c r="Q278" i="457"/>
  <c r="M278" i="457"/>
  <c r="M280" i="457" s="1"/>
  <c r="G268" i="457"/>
  <c r="G270" i="457" s="1"/>
  <c r="L236" i="457"/>
  <c r="L35" i="457"/>
  <c r="M276" i="457"/>
  <c r="N88" i="457"/>
  <c r="N147" i="457"/>
  <c r="O148" i="457"/>
  <c r="P148" i="457" s="1"/>
  <c r="Q148" i="457" s="1"/>
  <c r="R148" i="457" s="1"/>
  <c r="S148" i="457" s="1"/>
  <c r="T148" i="457" s="1"/>
  <c r="U148" i="457" s="1"/>
  <c r="V148" i="457" s="1"/>
  <c r="W148" i="457" s="1"/>
  <c r="X148" i="457" s="1"/>
  <c r="J344" i="457"/>
  <c r="J319" i="457"/>
  <c r="J330" i="457" s="1"/>
  <c r="K269" i="457"/>
  <c r="L68" i="457"/>
  <c r="L21" i="457" s="1"/>
  <c r="X278" i="457"/>
  <c r="T278" i="457"/>
  <c r="P278" i="457"/>
  <c r="L278" i="457"/>
  <c r="N268" i="457"/>
  <c r="J268" i="457"/>
  <c r="J270" i="457" s="1"/>
  <c r="L285" i="457"/>
  <c r="L286" i="457"/>
  <c r="O134" i="457"/>
  <c r="P134" i="457" s="1"/>
  <c r="Q134" i="457" s="1"/>
  <c r="R134" i="457" s="1"/>
  <c r="S134" i="457" s="1"/>
  <c r="T134" i="457" s="1"/>
  <c r="U134" i="457" s="1"/>
  <c r="V134" i="457" s="1"/>
  <c r="W134" i="457" s="1"/>
  <c r="X134" i="457" s="1"/>
  <c r="N138" i="457"/>
  <c r="N20" i="457" s="1"/>
  <c r="N19" i="457" s="1"/>
  <c r="O104" i="457"/>
  <c r="N162" i="457"/>
  <c r="N163" i="457"/>
  <c r="N160" i="457"/>
  <c r="O160" i="457" s="1"/>
  <c r="P160" i="457" s="1"/>
  <c r="N159" i="457"/>
  <c r="O159" i="457" s="1"/>
  <c r="P159" i="457" s="1"/>
  <c r="Q159" i="457" s="1"/>
  <c r="R159" i="457" s="1"/>
  <c r="N86" i="457"/>
  <c r="O86" i="457" s="1"/>
  <c r="P86" i="457" s="1"/>
  <c r="Q86" i="457" s="1"/>
  <c r="R86" i="457" s="1"/>
  <c r="S86" i="457" s="1"/>
  <c r="T86" i="457" s="1"/>
  <c r="U86" i="457" s="1"/>
  <c r="V86" i="457" s="1"/>
  <c r="W86" i="457" s="1"/>
  <c r="X86" i="457" s="1"/>
  <c r="F33" i="457"/>
  <c r="F37" i="457" s="1"/>
  <c r="F44" i="457" s="1"/>
  <c r="F212" i="457"/>
  <c r="F39" i="457" s="1"/>
  <c r="D212" i="457"/>
  <c r="D34" i="457"/>
  <c r="D33" i="457"/>
  <c r="J276" i="457"/>
  <c r="K276" i="457"/>
  <c r="J281" i="457"/>
  <c r="K281" i="457"/>
  <c r="J111" i="457"/>
  <c r="L256" i="457"/>
  <c r="K256" i="457"/>
  <c r="M55" i="457"/>
  <c r="M8" i="457"/>
  <c r="M9" i="457" s="1"/>
  <c r="I286" i="457"/>
  <c r="H286" i="457"/>
  <c r="N276" i="457"/>
  <c r="M11" i="457"/>
  <c r="M10" i="457" s="1"/>
  <c r="L11" i="457"/>
  <c r="L10" i="457" s="1"/>
  <c r="L270" i="457"/>
  <c r="L88" i="457"/>
  <c r="L86" i="457"/>
  <c r="G256" i="457"/>
  <c r="P100" i="457"/>
  <c r="Q100" i="457" s="1"/>
  <c r="R100" i="457" s="1"/>
  <c r="S100" i="457" s="1"/>
  <c r="T100" i="457" s="1"/>
  <c r="U100" i="457" s="1"/>
  <c r="V100" i="457" s="1"/>
  <c r="W100" i="457" s="1"/>
  <c r="X100" i="457" s="1"/>
  <c r="F24" i="457"/>
  <c r="F42" i="457" s="1"/>
  <c r="F227" i="457"/>
  <c r="F228" i="457" s="1"/>
  <c r="F30" i="457" s="1"/>
  <c r="F36" i="457"/>
  <c r="M281" i="457"/>
  <c r="M111" i="457"/>
  <c r="M138" i="457"/>
  <c r="M286" i="457" s="1"/>
  <c r="M86" i="457"/>
  <c r="M270" i="457"/>
  <c r="L111" i="457"/>
  <c r="L280" i="457"/>
  <c r="L162" i="457"/>
  <c r="L163" i="457"/>
  <c r="K351" i="457"/>
  <c r="N279" i="457"/>
  <c r="N274" i="457"/>
  <c r="N269" i="457"/>
  <c r="L352" i="457"/>
  <c r="I285" i="457"/>
  <c r="D86" i="457"/>
  <c r="K18" i="457"/>
  <c r="H285" i="457"/>
  <c r="G225" i="457"/>
  <c r="F266" i="457"/>
  <c r="I271" i="457"/>
  <c r="I266" i="457"/>
  <c r="I270" i="457"/>
  <c r="G28" i="457"/>
  <c r="E28" i="457"/>
  <c r="D11" i="457"/>
  <c r="D10" i="457" s="1"/>
  <c r="G68" i="457"/>
  <c r="G21" i="457" s="1"/>
  <c r="G86" i="457"/>
  <c r="H147" i="457"/>
  <c r="I147" i="457"/>
  <c r="L20" i="457" s="1"/>
  <c r="L19" i="457" s="1"/>
  <c r="F28" i="457"/>
  <c r="F31" i="457" s="1"/>
  <c r="F43" i="457" s="1"/>
  <c r="E159" i="457"/>
  <c r="E158" i="457"/>
  <c r="E162" i="457"/>
  <c r="P193" i="457"/>
  <c r="O66" i="457"/>
  <c r="S172" i="457"/>
  <c r="R23" i="457"/>
  <c r="J159" i="457"/>
  <c r="J160" i="457"/>
  <c r="E29" i="457"/>
  <c r="E145" i="457"/>
  <c r="E71" i="457" s="1"/>
  <c r="G54" i="457"/>
  <c r="D17" i="457"/>
  <c r="E72" i="457"/>
  <c r="H20" i="457"/>
  <c r="H19" i="457" s="1"/>
  <c r="H17" i="457"/>
  <c r="E203" i="457"/>
  <c r="E222" i="457"/>
  <c r="I222" i="457"/>
  <c r="M222" i="457"/>
  <c r="M223" i="457" s="1"/>
  <c r="D236" i="457"/>
  <c r="D224" i="457"/>
  <c r="D225" i="457" s="1"/>
  <c r="G111" i="457"/>
  <c r="F145" i="457"/>
  <c r="F71" i="457" s="1"/>
  <c r="F72" i="457" s="1"/>
  <c r="E233" i="457"/>
  <c r="D127" i="457"/>
  <c r="G145" i="457"/>
  <c r="G71" i="457" s="1"/>
  <c r="G72" i="457" s="1"/>
  <c r="F163" i="457"/>
  <c r="E237" i="457"/>
  <c r="J362" i="457" l="1"/>
  <c r="J363" i="457" s="1"/>
  <c r="K353" i="457"/>
  <c r="K284" i="457"/>
  <c r="K285" i="457" s="1"/>
  <c r="K340" i="457"/>
  <c r="L9" i="457"/>
  <c r="J265" i="457"/>
  <c r="K265" i="457"/>
  <c r="K274" i="457"/>
  <c r="P153" i="457"/>
  <c r="P83" i="457"/>
  <c r="P78" i="457"/>
  <c r="P80" i="457"/>
  <c r="N28" i="455"/>
  <c r="N31" i="455" s="1"/>
  <c r="N43" i="455" s="1"/>
  <c r="P211" i="455"/>
  <c r="O268" i="457"/>
  <c r="J55" i="457"/>
  <c r="J8" i="457"/>
  <c r="J9" i="457" s="1"/>
  <c r="J354" i="457"/>
  <c r="K279" i="457"/>
  <c r="K280" i="457" s="1"/>
  <c r="P227" i="457"/>
  <c r="K8" i="457"/>
  <c r="K9" i="457" s="1"/>
  <c r="K55" i="457"/>
  <c r="M228" i="455"/>
  <c r="M30" i="455" s="1"/>
  <c r="M227" i="455"/>
  <c r="M36" i="455"/>
  <c r="K21" i="455"/>
  <c r="K18" i="455"/>
  <c r="K227" i="455"/>
  <c r="K228" i="455" s="1"/>
  <c r="K30" i="455" s="1"/>
  <c r="K36" i="455"/>
  <c r="L25" i="457"/>
  <c r="L22" i="457"/>
  <c r="L24" i="457" s="1"/>
  <c r="L42" i="457" s="1"/>
  <c r="H21" i="455"/>
  <c r="H18" i="455"/>
  <c r="G8" i="455"/>
  <c r="G9" i="455" s="1"/>
  <c r="G13" i="455" s="1"/>
  <c r="G15" i="455" s="1"/>
  <c r="G41" i="455" s="1"/>
  <c r="G55" i="455"/>
  <c r="H8" i="455"/>
  <c r="H9" i="455" s="1"/>
  <c r="H13" i="455" s="1"/>
  <c r="H15" i="455" s="1"/>
  <c r="H41" i="455" s="1"/>
  <c r="H55" i="455"/>
  <c r="Q193" i="457"/>
  <c r="P66" i="457"/>
  <c r="J331" i="457"/>
  <c r="K320" i="457"/>
  <c r="J345" i="457"/>
  <c r="J341" i="457"/>
  <c r="L38" i="457"/>
  <c r="P157" i="457"/>
  <c r="O161" i="457"/>
  <c r="O244" i="455"/>
  <c r="O243" i="455"/>
  <c r="O259" i="455"/>
  <c r="J127" i="455"/>
  <c r="K200" i="455"/>
  <c r="K28" i="455"/>
  <c r="M276" i="455"/>
  <c r="J276" i="455"/>
  <c r="K276" i="455"/>
  <c r="K275" i="455"/>
  <c r="M121" i="455"/>
  <c r="M88" i="455"/>
  <c r="M11" i="455"/>
  <c r="M10" i="455" s="1"/>
  <c r="M13" i="455" s="1"/>
  <c r="M15" i="455" s="1"/>
  <c r="M41" i="455" s="1"/>
  <c r="R203" i="457"/>
  <c r="R203" i="455"/>
  <c r="O218" i="455"/>
  <c r="O126" i="455" s="1"/>
  <c r="O128" i="455" s="1"/>
  <c r="O59" i="455"/>
  <c r="O61" i="455" s="1"/>
  <c r="P217" i="455"/>
  <c r="S215" i="455"/>
  <c r="F55" i="455"/>
  <c r="F8" i="455"/>
  <c r="F9" i="455" s="1"/>
  <c r="F13" i="455" s="1"/>
  <c r="F15" i="455" s="1"/>
  <c r="F41" i="455" s="1"/>
  <c r="P151" i="455"/>
  <c r="E55" i="457"/>
  <c r="E8" i="457"/>
  <c r="E9" i="457" s="1"/>
  <c r="E13" i="457" s="1"/>
  <c r="E15" i="457" s="1"/>
  <c r="E41" i="457" s="1"/>
  <c r="O243" i="457"/>
  <c r="O259" i="457"/>
  <c r="O244" i="457"/>
  <c r="D22" i="455"/>
  <c r="D24" i="455" s="1"/>
  <c r="D42" i="455" s="1"/>
  <c r="D25" i="455"/>
  <c r="I60" i="457"/>
  <c r="I61" i="457" s="1"/>
  <c r="O273" i="455"/>
  <c r="M337" i="457"/>
  <c r="D228" i="457"/>
  <c r="D30" i="457" s="1"/>
  <c r="D31" i="457" s="1"/>
  <c r="D43" i="457" s="1"/>
  <c r="D227" i="457"/>
  <c r="D36" i="457"/>
  <c r="E223" i="457"/>
  <c r="E225" i="457"/>
  <c r="G227" i="457"/>
  <c r="G36" i="457"/>
  <c r="G228" i="457"/>
  <c r="G30" i="457" s="1"/>
  <c r="G31" i="457" s="1"/>
  <c r="G43" i="457" s="1"/>
  <c r="K20" i="457"/>
  <c r="K19" i="457" s="1"/>
  <c r="K22" i="457" s="1"/>
  <c r="K24" i="457" s="1"/>
  <c r="K42" i="457" s="1"/>
  <c r="J359" i="457"/>
  <c r="M20" i="457"/>
  <c r="M19" i="457" s="1"/>
  <c r="N270" i="457"/>
  <c r="K344" i="457"/>
  <c r="W224" i="457"/>
  <c r="S103" i="457"/>
  <c r="R276" i="457"/>
  <c r="P154" i="457"/>
  <c r="P60" i="457"/>
  <c r="P84" i="457"/>
  <c r="O210" i="457"/>
  <c r="P207" i="457"/>
  <c r="P152" i="457"/>
  <c r="J227" i="457"/>
  <c r="J228" i="457" s="1"/>
  <c r="J30" i="457" s="1"/>
  <c r="J36" i="457"/>
  <c r="T132" i="457"/>
  <c r="H28" i="455"/>
  <c r="N276" i="455"/>
  <c r="O103" i="455"/>
  <c r="N275" i="455"/>
  <c r="J111" i="455"/>
  <c r="J281" i="455"/>
  <c r="J280" i="455"/>
  <c r="K11" i="455"/>
  <c r="K10" i="455" s="1"/>
  <c r="K13" i="455" s="1"/>
  <c r="K15" i="455" s="1"/>
  <c r="K41" i="455" s="1"/>
  <c r="K88" i="455"/>
  <c r="J138" i="455"/>
  <c r="J285" i="455" s="1"/>
  <c r="P183" i="457"/>
  <c r="Q183" i="457" s="1"/>
  <c r="R183" i="457" s="1"/>
  <c r="N18" i="457"/>
  <c r="K121" i="455"/>
  <c r="P138" i="457"/>
  <c r="I13" i="455"/>
  <c r="I15" i="455" s="1"/>
  <c r="I41" i="455" s="1"/>
  <c r="G18" i="455"/>
  <c r="G21" i="455"/>
  <c r="D86" i="455"/>
  <c r="P85" i="455"/>
  <c r="P246" i="455"/>
  <c r="F8" i="457"/>
  <c r="F9" i="457" s="1"/>
  <c r="F13" i="457" s="1"/>
  <c r="F15" i="457" s="1"/>
  <c r="F41" i="457" s="1"/>
  <c r="F55" i="457"/>
  <c r="O49" i="457"/>
  <c r="J268" i="455"/>
  <c r="F265" i="455"/>
  <c r="F280" i="455"/>
  <c r="E189" i="455"/>
  <c r="E196" i="455" s="1"/>
  <c r="D184" i="455"/>
  <c r="D182" i="455" s="1"/>
  <c r="D185" i="455" s="1"/>
  <c r="P242" i="455"/>
  <c r="H273" i="457"/>
  <c r="H275" i="457" s="1"/>
  <c r="M273" i="457"/>
  <c r="M275" i="457" s="1"/>
  <c r="J273" i="457"/>
  <c r="J275" i="457" s="1"/>
  <c r="G273" i="457"/>
  <c r="G275" i="457" s="1"/>
  <c r="W273" i="457"/>
  <c r="E265" i="455"/>
  <c r="E280" i="455"/>
  <c r="P254" i="457"/>
  <c r="Q254" i="457" s="1"/>
  <c r="R254" i="457" s="1"/>
  <c r="S254" i="457" s="1"/>
  <c r="T254" i="457" s="1"/>
  <c r="U254" i="457" s="1"/>
  <c r="V254" i="457" s="1"/>
  <c r="W254" i="457" s="1"/>
  <c r="X254" i="457" s="1"/>
  <c r="P254" i="455"/>
  <c r="Q254" i="455" s="1"/>
  <c r="R254" i="455" s="1"/>
  <c r="S254" i="455" s="1"/>
  <c r="T254" i="455" s="1"/>
  <c r="U254" i="455" s="1"/>
  <c r="V254" i="455" s="1"/>
  <c r="W254" i="455" s="1"/>
  <c r="X254" i="455" s="1"/>
  <c r="G273" i="455"/>
  <c r="G275" i="455" s="1"/>
  <c r="P6" i="436"/>
  <c r="Q5" i="436"/>
  <c r="P251" i="457"/>
  <c r="P251" i="455"/>
  <c r="P221" i="455"/>
  <c r="J273" i="455"/>
  <c r="J275" i="455" s="1"/>
  <c r="D38" i="457"/>
  <c r="D39" i="457"/>
  <c r="H28" i="457"/>
  <c r="H31" i="457" s="1"/>
  <c r="H43" i="457" s="1"/>
  <c r="J28" i="457"/>
  <c r="I28" i="457"/>
  <c r="L28" i="457"/>
  <c r="L31" i="457" s="1"/>
  <c r="N28" i="457"/>
  <c r="N31" i="457" s="1"/>
  <c r="K28" i="457"/>
  <c r="K31" i="457" s="1"/>
  <c r="F34" i="457"/>
  <c r="E34" i="457"/>
  <c r="D55" i="457"/>
  <c r="T172" i="457"/>
  <c r="S23" i="457"/>
  <c r="I20" i="457"/>
  <c r="I19" i="457" s="1"/>
  <c r="J11" i="457"/>
  <c r="J10" i="457" s="1"/>
  <c r="J20" i="457"/>
  <c r="J19" i="457" s="1"/>
  <c r="I11" i="457"/>
  <c r="I10" i="457" s="1"/>
  <c r="I13" i="457" s="1"/>
  <c r="I15" i="457" s="1"/>
  <c r="I41" i="457" s="1"/>
  <c r="N11" i="457"/>
  <c r="N10" i="457" s="1"/>
  <c r="H11" i="457"/>
  <c r="H10" i="457" s="1"/>
  <c r="K11" i="457"/>
  <c r="K10" i="457" s="1"/>
  <c r="M13" i="457"/>
  <c r="M15" i="457" s="1"/>
  <c r="M285" i="457"/>
  <c r="F45" i="457"/>
  <c r="F5" i="457"/>
  <c r="P104" i="457"/>
  <c r="Q104" i="457" s="1"/>
  <c r="R104" i="457" s="1"/>
  <c r="S104" i="457" s="1"/>
  <c r="G33" i="457"/>
  <c r="G37" i="457" s="1"/>
  <c r="G44" i="457" s="1"/>
  <c r="G212" i="457"/>
  <c r="G39" i="457" s="1"/>
  <c r="G34" i="457"/>
  <c r="O145" i="457"/>
  <c r="N71" i="457"/>
  <c r="N72" i="457" s="1"/>
  <c r="T215" i="457"/>
  <c r="M225" i="457"/>
  <c r="O218" i="457"/>
  <c r="O126" i="457" s="1"/>
  <c r="O128" i="457" s="1"/>
  <c r="P217" i="457"/>
  <c r="O59" i="457"/>
  <c r="O61" i="457" s="1"/>
  <c r="P246" i="457"/>
  <c r="P85" i="457"/>
  <c r="P209" i="457"/>
  <c r="J38" i="457"/>
  <c r="N111" i="455"/>
  <c r="O111" i="455" s="1"/>
  <c r="P111" i="455" s="1"/>
  <c r="Q111" i="455" s="1"/>
  <c r="R111" i="455" s="1"/>
  <c r="S111" i="455" s="1"/>
  <c r="T111" i="455" s="1"/>
  <c r="U111" i="455" s="1"/>
  <c r="V111" i="455" s="1"/>
  <c r="W111" i="455" s="1"/>
  <c r="X111" i="455" s="1"/>
  <c r="N281" i="455"/>
  <c r="N280" i="455"/>
  <c r="L276" i="455"/>
  <c r="L275" i="455"/>
  <c r="J20" i="455"/>
  <c r="J19" i="455" s="1"/>
  <c r="J271" i="455"/>
  <c r="J86" i="455"/>
  <c r="J270" i="455"/>
  <c r="L111" i="455"/>
  <c r="L280" i="455"/>
  <c r="L281" i="455"/>
  <c r="L138" i="455"/>
  <c r="M285" i="455" s="1"/>
  <c r="K111" i="455"/>
  <c r="K280" i="455"/>
  <c r="K281" i="455"/>
  <c r="N200" i="455"/>
  <c r="S176" i="457"/>
  <c r="T169" i="457" s="1"/>
  <c r="T176" i="457" s="1"/>
  <c r="U169" i="457" s="1"/>
  <c r="R133" i="457"/>
  <c r="Q138" i="457"/>
  <c r="E25" i="455"/>
  <c r="E22" i="455"/>
  <c r="E24" i="455" s="1"/>
  <c r="E42" i="455" s="1"/>
  <c r="K138" i="455"/>
  <c r="K286" i="455" s="1"/>
  <c r="M271" i="455"/>
  <c r="M86" i="455"/>
  <c r="N268" i="455"/>
  <c r="M20" i="455"/>
  <c r="M19" i="455" s="1"/>
  <c r="M270" i="455"/>
  <c r="P109" i="455"/>
  <c r="P284" i="455"/>
  <c r="Q247" i="455"/>
  <c r="Q227" i="455" s="1"/>
  <c r="P264" i="455"/>
  <c r="P274" i="455"/>
  <c r="P269" i="455"/>
  <c r="P279" i="455"/>
  <c r="P80" i="455"/>
  <c r="N9" i="455"/>
  <c r="H54" i="457"/>
  <c r="P183" i="455"/>
  <c r="Q183" i="455" s="1"/>
  <c r="R183" i="455" s="1"/>
  <c r="S183" i="455" s="1"/>
  <c r="T183" i="455" s="1"/>
  <c r="U183" i="455" s="1"/>
  <c r="V183" i="455" s="1"/>
  <c r="W183" i="455" s="1"/>
  <c r="X183" i="455" s="1"/>
  <c r="P83" i="455"/>
  <c r="S249" i="455"/>
  <c r="S250" i="455" s="1"/>
  <c r="S283" i="455" s="1"/>
  <c r="S249" i="457"/>
  <c r="S250" i="457" s="1"/>
  <c r="S283" i="457" s="1"/>
  <c r="T4" i="436"/>
  <c r="X273" i="457"/>
  <c r="T273" i="457"/>
  <c r="Q273" i="457"/>
  <c r="N273" i="457"/>
  <c r="N275" i="457" s="1"/>
  <c r="K273" i="457"/>
  <c r="K275" i="457" s="1"/>
  <c r="P221" i="457"/>
  <c r="T273" i="455"/>
  <c r="K270" i="457"/>
  <c r="O255" i="455"/>
  <c r="O256" i="455" s="1"/>
  <c r="O49" i="455" s="1"/>
  <c r="O268" i="455"/>
  <c r="O253" i="455"/>
  <c r="O252" i="455"/>
  <c r="O77" i="455"/>
  <c r="I223" i="457"/>
  <c r="I225" i="457" s="1"/>
  <c r="G55" i="457"/>
  <c r="G8" i="457"/>
  <c r="G9" i="457" s="1"/>
  <c r="G13" i="457" s="1"/>
  <c r="G15" i="457" s="1"/>
  <c r="G41" i="457" s="1"/>
  <c r="N67" i="457"/>
  <c r="N68" i="457" s="1"/>
  <c r="O68" i="457" s="1"/>
  <c r="O143" i="457"/>
  <c r="P143" i="457" s="1"/>
  <c r="O161" i="455"/>
  <c r="P157" i="455"/>
  <c r="O68" i="455"/>
  <c r="P151" i="457"/>
  <c r="K271" i="455"/>
  <c r="K86" i="455"/>
  <c r="K270" i="455"/>
  <c r="K20" i="455"/>
  <c r="K19" i="455" s="1"/>
  <c r="L268" i="455"/>
  <c r="L270" i="455" s="1"/>
  <c r="J88" i="455"/>
  <c r="J11" i="455"/>
  <c r="J10" i="455" s="1"/>
  <c r="J13" i="455" s="1"/>
  <c r="J15" i="455" s="1"/>
  <c r="J41" i="455" s="1"/>
  <c r="L286" i="455"/>
  <c r="L121" i="455"/>
  <c r="S179" i="457"/>
  <c r="T179" i="457" s="1"/>
  <c r="H256" i="455"/>
  <c r="I256" i="455"/>
  <c r="Q143" i="455"/>
  <c r="H21" i="457"/>
  <c r="H18" i="457"/>
  <c r="D21" i="457"/>
  <c r="D18" i="457"/>
  <c r="K25" i="457"/>
  <c r="K354" i="457"/>
  <c r="K352" i="457"/>
  <c r="K361" i="457" s="1"/>
  <c r="O138" i="457"/>
  <c r="D37" i="457"/>
  <c r="D44" i="457" s="1"/>
  <c r="N285" i="457"/>
  <c r="N286" i="457"/>
  <c r="F268" i="457"/>
  <c r="F270" i="457" s="1"/>
  <c r="J321" i="457"/>
  <c r="J365" i="457" s="1"/>
  <c r="L340" i="457"/>
  <c r="L343" i="457"/>
  <c r="M339" i="457" s="1"/>
  <c r="E45" i="457"/>
  <c r="E5" i="457"/>
  <c r="I189" i="457"/>
  <c r="I196" i="457" s="1"/>
  <c r="H184" i="457"/>
  <c r="H182" i="457" s="1"/>
  <c r="H185" i="457" s="1"/>
  <c r="N280" i="457"/>
  <c r="V171" i="457"/>
  <c r="U65" i="457"/>
  <c r="N38" i="457"/>
  <c r="P159" i="455"/>
  <c r="Q159" i="455" s="1"/>
  <c r="R159" i="455" s="1"/>
  <c r="S159" i="455" s="1"/>
  <c r="T159" i="455" s="1"/>
  <c r="U159" i="455" s="1"/>
  <c r="V159" i="455" s="1"/>
  <c r="W159" i="455" s="1"/>
  <c r="X159" i="455" s="1"/>
  <c r="P274" i="457"/>
  <c r="P275" i="457" s="1"/>
  <c r="P269" i="457"/>
  <c r="P284" i="457"/>
  <c r="P279" i="457"/>
  <c r="P264" i="457"/>
  <c r="Q247" i="457"/>
  <c r="P82" i="457"/>
  <c r="P211" i="457"/>
  <c r="P79" i="457"/>
  <c r="Q79" i="457" s="1"/>
  <c r="P223" i="457"/>
  <c r="P158" i="457"/>
  <c r="Q193" i="455"/>
  <c r="P66" i="455"/>
  <c r="M28" i="457"/>
  <c r="G31" i="455"/>
  <c r="G43" i="455" s="1"/>
  <c r="L200" i="455"/>
  <c r="L28" i="455"/>
  <c r="L31" i="455" s="1"/>
  <c r="L43" i="455" s="1"/>
  <c r="J200" i="455"/>
  <c r="J28" i="455"/>
  <c r="J31" i="455" s="1"/>
  <c r="J43" i="455" s="1"/>
  <c r="N11" i="455"/>
  <c r="N10" i="455" s="1"/>
  <c r="N88" i="455"/>
  <c r="O88" i="455" s="1"/>
  <c r="N138" i="455"/>
  <c r="N286" i="455" s="1"/>
  <c r="O132" i="455"/>
  <c r="M111" i="455"/>
  <c r="M281" i="455"/>
  <c r="M280" i="455"/>
  <c r="L88" i="455"/>
  <c r="L11" i="455"/>
  <c r="L10" i="455" s="1"/>
  <c r="L13" i="455" s="1"/>
  <c r="L15" i="455" s="1"/>
  <c r="L41" i="455" s="1"/>
  <c r="N20" i="455"/>
  <c r="N19" i="455" s="1"/>
  <c r="N271" i="455"/>
  <c r="N270" i="455"/>
  <c r="N86" i="455"/>
  <c r="O86" i="455" s="1"/>
  <c r="P86" i="455" s="1"/>
  <c r="Q86" i="455" s="1"/>
  <c r="R86" i="455" s="1"/>
  <c r="S86" i="455" s="1"/>
  <c r="T86" i="455" s="1"/>
  <c r="U86" i="455" s="1"/>
  <c r="V86" i="455" s="1"/>
  <c r="W86" i="455" s="1"/>
  <c r="X86" i="455" s="1"/>
  <c r="N121" i="455"/>
  <c r="O121" i="455" s="1"/>
  <c r="N285" i="455"/>
  <c r="M200" i="455"/>
  <c r="M28" i="455"/>
  <c r="M31" i="455" s="1"/>
  <c r="M43" i="455" s="1"/>
  <c r="L13" i="457"/>
  <c r="L15" i="457" s="1"/>
  <c r="P109" i="457"/>
  <c r="Q203" i="457"/>
  <c r="Q203" i="455"/>
  <c r="J18" i="455"/>
  <c r="O104" i="455"/>
  <c r="Q99" i="455"/>
  <c r="Q100" i="455" s="1"/>
  <c r="Q121" i="457"/>
  <c r="P122" i="457"/>
  <c r="L20" i="455"/>
  <c r="L19" i="455" s="1"/>
  <c r="P207" i="455"/>
  <c r="O210" i="455"/>
  <c r="P154" i="455"/>
  <c r="Q154" i="455" s="1"/>
  <c r="N9" i="457"/>
  <c r="N13" i="457" s="1"/>
  <c r="N15" i="457" s="1"/>
  <c r="H227" i="455"/>
  <c r="H36" i="455"/>
  <c r="H228" i="455"/>
  <c r="H30" i="455" s="1"/>
  <c r="S145" i="455"/>
  <c r="N61" i="440"/>
  <c r="N53" i="440"/>
  <c r="C69" i="440" s="1"/>
  <c r="N57" i="440"/>
  <c r="C4" i="440"/>
  <c r="C45" i="440" s="1"/>
  <c r="N50" i="440"/>
  <c r="N49" i="440"/>
  <c r="C66" i="440" s="1"/>
  <c r="N48" i="440"/>
  <c r="C64" i="440" s="1"/>
  <c r="D2" i="440"/>
  <c r="N52" i="440"/>
  <c r="N56" i="440"/>
  <c r="N59" i="440"/>
  <c r="N60" i="440"/>
  <c r="N51" i="440"/>
  <c r="N54" i="440"/>
  <c r="C71" i="440" s="1"/>
  <c r="N55" i="440"/>
  <c r="N47" i="440"/>
  <c r="E54" i="455"/>
  <c r="P243" i="457"/>
  <c r="P259" i="457"/>
  <c r="P258" i="457" s="1"/>
  <c r="D54" i="455"/>
  <c r="P179" i="455"/>
  <c r="Q179" i="455" s="1"/>
  <c r="R179" i="455" s="1"/>
  <c r="S179" i="455" s="1"/>
  <c r="T179" i="455" s="1"/>
  <c r="U179" i="455" s="1"/>
  <c r="V179" i="455" s="1"/>
  <c r="W179" i="455" s="1"/>
  <c r="X179" i="455" s="1"/>
  <c r="P152" i="455"/>
  <c r="I60" i="455"/>
  <c r="I61" i="455" s="1"/>
  <c r="E273" i="457"/>
  <c r="E275" i="457" s="1"/>
  <c r="O275" i="457"/>
  <c r="Q204" i="457"/>
  <c r="R204" i="457" s="1"/>
  <c r="S204" i="457" s="1"/>
  <c r="T204" i="457" s="1"/>
  <c r="U204" i="457" s="1"/>
  <c r="V204" i="457" s="1"/>
  <c r="W204" i="457" s="1"/>
  <c r="X204" i="457" s="1"/>
  <c r="I280" i="455"/>
  <c r="P78" i="455"/>
  <c r="P273" i="455"/>
  <c r="M273" i="455"/>
  <c r="M275" i="455" s="1"/>
  <c r="Q204" i="455"/>
  <c r="R204" i="455" s="1"/>
  <c r="S204" i="455" s="1"/>
  <c r="T204" i="455" s="1"/>
  <c r="U204" i="455" s="1"/>
  <c r="V204" i="455" s="1"/>
  <c r="W204" i="455" s="1"/>
  <c r="X204" i="455" s="1"/>
  <c r="I273" i="455"/>
  <c r="I275" i="455" s="1"/>
  <c r="F273" i="455"/>
  <c r="F275" i="455" s="1"/>
  <c r="Q273" i="455"/>
  <c r="Q209" i="455" l="1"/>
  <c r="P68" i="455"/>
  <c r="J13" i="457"/>
  <c r="J15" i="457" s="1"/>
  <c r="J41" i="457" s="1"/>
  <c r="K13" i="457"/>
  <c r="K15" i="457" s="1"/>
  <c r="Q78" i="455"/>
  <c r="Q82" i="455"/>
  <c r="R82" i="455" s="1"/>
  <c r="O216" i="457"/>
  <c r="O222" i="457" s="1"/>
  <c r="O225" i="457" s="1"/>
  <c r="Q84" i="455"/>
  <c r="Q80" i="455"/>
  <c r="I21" i="455"/>
  <c r="I18" i="455"/>
  <c r="I18" i="457"/>
  <c r="I21" i="457"/>
  <c r="K41" i="457"/>
  <c r="L353" i="457"/>
  <c r="K362" i="457"/>
  <c r="I228" i="457"/>
  <c r="I30" i="457" s="1"/>
  <c r="I31" i="457" s="1"/>
  <c r="I43" i="457" s="1"/>
  <c r="I227" i="457"/>
  <c r="I36" i="457"/>
  <c r="J366" i="457"/>
  <c r="O59" i="440"/>
  <c r="O52" i="440"/>
  <c r="O54" i="440"/>
  <c r="D71" i="440" s="1"/>
  <c r="O56" i="440"/>
  <c r="E2" i="440"/>
  <c r="O60" i="440"/>
  <c r="O53" i="440"/>
  <c r="D69" i="440" s="1"/>
  <c r="O57" i="440"/>
  <c r="O48" i="440"/>
  <c r="D64" i="440" s="1"/>
  <c r="D65" i="440" s="1"/>
  <c r="O61" i="440"/>
  <c r="O50" i="440"/>
  <c r="O47" i="440"/>
  <c r="O49" i="440"/>
  <c r="D66" i="440" s="1"/>
  <c r="D4" i="440"/>
  <c r="D45" i="440" s="1"/>
  <c r="O51" i="440"/>
  <c r="O55" i="440"/>
  <c r="N45" i="440"/>
  <c r="C63" i="440"/>
  <c r="L25" i="455"/>
  <c r="L22" i="455"/>
  <c r="L24" i="455" s="1"/>
  <c r="L42" i="455" s="1"/>
  <c r="P121" i="455"/>
  <c r="O122" i="455"/>
  <c r="N25" i="455"/>
  <c r="N22" i="455"/>
  <c r="N24" i="455" s="1"/>
  <c r="N42" i="455" s="1"/>
  <c r="Q274" i="457"/>
  <c r="R247" i="457"/>
  <c r="Q269" i="457"/>
  <c r="Q284" i="457"/>
  <c r="Q279" i="457"/>
  <c r="Q258" i="457"/>
  <c r="Q264" i="457"/>
  <c r="Q160" i="457"/>
  <c r="T249" i="457"/>
  <c r="T250" i="457" s="1"/>
  <c r="T283" i="457" s="1"/>
  <c r="U4" i="436"/>
  <c r="T249" i="455"/>
  <c r="T250" i="455" s="1"/>
  <c r="T283" i="455" s="1"/>
  <c r="Q160" i="455"/>
  <c r="U172" i="457"/>
  <c r="T23" i="457"/>
  <c r="K43" i="457"/>
  <c r="J31" i="457"/>
  <c r="P252" i="457"/>
  <c r="P253" i="457"/>
  <c r="P255" i="457"/>
  <c r="P256" i="457" s="1"/>
  <c r="Q211" i="455"/>
  <c r="P103" i="455"/>
  <c r="P104" i="455" s="1"/>
  <c r="O276" i="455"/>
  <c r="O275" i="455"/>
  <c r="Q84" i="457"/>
  <c r="Q79" i="455"/>
  <c r="R79" i="455" s="1"/>
  <c r="O91" i="457"/>
  <c r="O258" i="457"/>
  <c r="Q208" i="455"/>
  <c r="M286" i="455"/>
  <c r="K31" i="455"/>
  <c r="K43" i="455" s="1"/>
  <c r="O245" i="455"/>
  <c r="P244" i="455"/>
  <c r="O50" i="455"/>
  <c r="O53" i="455"/>
  <c r="O51" i="455"/>
  <c r="P51" i="455" s="1"/>
  <c r="O52" i="455"/>
  <c r="Q157" i="457"/>
  <c r="P161" i="457"/>
  <c r="O88" i="457"/>
  <c r="P88" i="457" s="1"/>
  <c r="Q88" i="457" s="1"/>
  <c r="H22" i="455"/>
  <c r="H24" i="455" s="1"/>
  <c r="H42" i="455" s="1"/>
  <c r="H25" i="455"/>
  <c r="L344" i="457"/>
  <c r="K25" i="455"/>
  <c r="K22" i="455"/>
  <c r="K24" i="455" s="1"/>
  <c r="K42" i="455" s="1"/>
  <c r="Q152" i="455"/>
  <c r="C65" i="440"/>
  <c r="N41" i="457"/>
  <c r="Q66" i="455"/>
  <c r="R193" i="455"/>
  <c r="Q211" i="457"/>
  <c r="D22" i="457"/>
  <c r="D24" i="457" s="1"/>
  <c r="D42" i="457" s="1"/>
  <c r="D25" i="457"/>
  <c r="Q151" i="457"/>
  <c r="Q143" i="457"/>
  <c r="R143" i="457" s="1"/>
  <c r="P77" i="455"/>
  <c r="Q221" i="457"/>
  <c r="Q275" i="457"/>
  <c r="H8" i="457"/>
  <c r="H9" i="457" s="1"/>
  <c r="H13" i="457" s="1"/>
  <c r="H15" i="457" s="1"/>
  <c r="H41" i="457" s="1"/>
  <c r="H55" i="457"/>
  <c r="Q223" i="455"/>
  <c r="M25" i="455"/>
  <c r="M22" i="455"/>
  <c r="M24" i="455" s="1"/>
  <c r="M42" i="455" s="1"/>
  <c r="S133" i="457"/>
  <c r="R138" i="457"/>
  <c r="Q209" i="457"/>
  <c r="Q217" i="457"/>
  <c r="P59" i="457"/>
  <c r="P61" i="457" s="1"/>
  <c r="P218" i="457"/>
  <c r="P126" i="457" s="1"/>
  <c r="P128" i="457" s="1"/>
  <c r="P216" i="457"/>
  <c r="P222" i="457" s="1"/>
  <c r="P225" i="457" s="1"/>
  <c r="M227" i="457"/>
  <c r="M228" i="457" s="1"/>
  <c r="M30" i="457" s="1"/>
  <c r="M31" i="457" s="1"/>
  <c r="M36" i="457"/>
  <c r="U215" i="457"/>
  <c r="S159" i="457"/>
  <c r="T159" i="457" s="1"/>
  <c r="M41" i="457"/>
  <c r="N43" i="457"/>
  <c r="Q221" i="455"/>
  <c r="R5" i="436"/>
  <c r="Q251" i="457"/>
  <c r="Q6" i="436"/>
  <c r="Q251" i="455"/>
  <c r="P243" i="455"/>
  <c r="P259" i="455"/>
  <c r="P258" i="455" s="1"/>
  <c r="N21" i="457"/>
  <c r="Q152" i="457"/>
  <c r="Q60" i="457"/>
  <c r="S276" i="457"/>
  <c r="T103" i="457"/>
  <c r="X224" i="457"/>
  <c r="T145" i="455"/>
  <c r="U145" i="455" s="1"/>
  <c r="Q60" i="455"/>
  <c r="O216" i="455"/>
  <c r="O222" i="455" s="1"/>
  <c r="O225" i="455" s="1"/>
  <c r="Q80" i="457"/>
  <c r="K321" i="457"/>
  <c r="K365" i="457" s="1"/>
  <c r="K366" i="457" s="1"/>
  <c r="K330" i="457"/>
  <c r="C72" i="440"/>
  <c r="C74" i="440"/>
  <c r="C68" i="440"/>
  <c r="D67" i="440"/>
  <c r="C67" i="440"/>
  <c r="C70" i="440"/>
  <c r="D70" i="440"/>
  <c r="R84" i="455"/>
  <c r="R121" i="457"/>
  <c r="Q122" i="457"/>
  <c r="J25" i="455"/>
  <c r="J22" i="455"/>
  <c r="J24" i="455" s="1"/>
  <c r="J42" i="455" s="1"/>
  <c r="Q109" i="457"/>
  <c r="P132" i="455"/>
  <c r="O138" i="455"/>
  <c r="O139" i="455" s="1"/>
  <c r="Q158" i="457"/>
  <c r="Q82" i="457"/>
  <c r="H34" i="457"/>
  <c r="H212" i="457"/>
  <c r="H39" i="457" s="1"/>
  <c r="H33" i="457"/>
  <c r="H37" i="457" s="1"/>
  <c r="H44" i="457" s="1"/>
  <c r="Q83" i="457"/>
  <c r="O36" i="457"/>
  <c r="Q264" i="455"/>
  <c r="Q258" i="455"/>
  <c r="Q284" i="455"/>
  <c r="Q269" i="455"/>
  <c r="Q279" i="455"/>
  <c r="Q274" i="455"/>
  <c r="R247" i="455"/>
  <c r="U176" i="457"/>
  <c r="V169" i="457" s="1"/>
  <c r="Q85" i="457"/>
  <c r="G45" i="457"/>
  <c r="G5" i="457"/>
  <c r="L43" i="457"/>
  <c r="D45" i="457"/>
  <c r="D5" i="457"/>
  <c r="Q153" i="457"/>
  <c r="D34" i="455"/>
  <c r="D33" i="455"/>
  <c r="D37" i="455" s="1"/>
  <c r="D44" i="455" s="1"/>
  <c r="D212" i="455"/>
  <c r="D39" i="455" s="1"/>
  <c r="Q246" i="455"/>
  <c r="R246" i="455" s="1"/>
  <c r="K285" i="455"/>
  <c r="N22" i="457"/>
  <c r="N24" i="457" s="1"/>
  <c r="N42" i="457" s="1"/>
  <c r="N25" i="457"/>
  <c r="H31" i="455"/>
  <c r="H43" i="455" s="1"/>
  <c r="P210" i="457"/>
  <c r="Q207" i="457"/>
  <c r="Q154" i="457"/>
  <c r="Q208" i="457"/>
  <c r="E228" i="457"/>
  <c r="E30" i="457" s="1"/>
  <c r="E31" i="457" s="1"/>
  <c r="E43" i="457" s="1"/>
  <c r="E227" i="457"/>
  <c r="E36" i="457"/>
  <c r="E37" i="457" s="1"/>
  <c r="E44" i="457" s="1"/>
  <c r="M338" i="457"/>
  <c r="M343" i="457" s="1"/>
  <c r="Q151" i="455"/>
  <c r="Q153" i="455"/>
  <c r="R153" i="455" s="1"/>
  <c r="J286" i="455"/>
  <c r="O258" i="455"/>
  <c r="O91" i="455"/>
  <c r="Q78" i="457"/>
  <c r="R193" i="457"/>
  <c r="Q66" i="457"/>
  <c r="L285" i="455"/>
  <c r="D55" i="455"/>
  <c r="D8" i="455"/>
  <c r="D9" i="455" s="1"/>
  <c r="D13" i="455" s="1"/>
  <c r="D15" i="455" s="1"/>
  <c r="D41" i="455" s="1"/>
  <c r="E8" i="455"/>
  <c r="E9" i="455" s="1"/>
  <c r="E13" i="455" s="1"/>
  <c r="E15" i="455" s="1"/>
  <c r="E41" i="455" s="1"/>
  <c r="E55" i="455"/>
  <c r="C73" i="440"/>
  <c r="P210" i="455"/>
  <c r="Q207" i="455"/>
  <c r="R99" i="455"/>
  <c r="R100" i="455" s="1"/>
  <c r="L41" i="457"/>
  <c r="Q223" i="457"/>
  <c r="R223" i="457" s="1"/>
  <c r="Q227" i="457"/>
  <c r="W171" i="457"/>
  <c r="V65" i="457"/>
  <c r="J189" i="457"/>
  <c r="J196" i="457" s="1"/>
  <c r="I184" i="457"/>
  <c r="I182" i="457" s="1"/>
  <c r="I185" i="457" s="1"/>
  <c r="H25" i="457"/>
  <c r="H22" i="457"/>
  <c r="H24" i="457" s="1"/>
  <c r="H42" i="457" s="1"/>
  <c r="Q157" i="455"/>
  <c r="P161" i="455"/>
  <c r="P68" i="457"/>
  <c r="Q83" i="455"/>
  <c r="R83" i="455" s="1"/>
  <c r="N13" i="455"/>
  <c r="N15" i="455" s="1"/>
  <c r="N41" i="455" s="1"/>
  <c r="Q109" i="455"/>
  <c r="Q246" i="457"/>
  <c r="P145" i="457"/>
  <c r="J25" i="457"/>
  <c r="J22" i="457"/>
  <c r="J24" i="457" s="1"/>
  <c r="J42" i="457" s="1"/>
  <c r="R143" i="455"/>
  <c r="P253" i="455"/>
  <c r="P252" i="455"/>
  <c r="P255" i="455"/>
  <c r="P256" i="455" s="1"/>
  <c r="P49" i="455" s="1"/>
  <c r="E184" i="455"/>
  <c r="E182" i="455" s="1"/>
  <c r="E185" i="455" s="1"/>
  <c r="F189" i="455"/>
  <c r="F196" i="455" s="1"/>
  <c r="P49" i="457"/>
  <c r="Q85" i="455"/>
  <c r="R85" i="455" s="1"/>
  <c r="G25" i="455"/>
  <c r="G22" i="455"/>
  <c r="G24" i="455" s="1"/>
  <c r="G42" i="455" s="1"/>
  <c r="S183" i="457"/>
  <c r="T183" i="457" s="1"/>
  <c r="U132" i="457"/>
  <c r="Q158" i="455"/>
  <c r="R158" i="455" s="1"/>
  <c r="K345" i="457"/>
  <c r="K341" i="457"/>
  <c r="M25" i="457"/>
  <c r="M22" i="457"/>
  <c r="M24" i="457" s="1"/>
  <c r="M42" i="457" s="1"/>
  <c r="P77" i="457"/>
  <c r="O53" i="457"/>
  <c r="O51" i="457"/>
  <c r="P244" i="457"/>
  <c r="O245" i="457"/>
  <c r="O52" i="457"/>
  <c r="O50" i="457"/>
  <c r="P50" i="457" s="1"/>
  <c r="T215" i="455"/>
  <c r="P218" i="455"/>
  <c r="P126" i="455" s="1"/>
  <c r="P128" i="455" s="1"/>
  <c r="P216" i="455"/>
  <c r="P222" i="455" s="1"/>
  <c r="P225" i="455" s="1"/>
  <c r="Q217" i="455"/>
  <c r="P59" i="455"/>
  <c r="P61" i="455" s="1"/>
  <c r="J327" i="457"/>
  <c r="J369" i="457" s="1"/>
  <c r="J367" i="457"/>
  <c r="J368" i="457" s="1"/>
  <c r="J332" i="457"/>
  <c r="J371" i="457" s="1"/>
  <c r="R208" i="457" l="1"/>
  <c r="R153" i="457"/>
  <c r="R80" i="457"/>
  <c r="R208" i="455"/>
  <c r="D73" i="440"/>
  <c r="Q68" i="457"/>
  <c r="R88" i="457"/>
  <c r="P88" i="455"/>
  <c r="Q88" i="455" s="1"/>
  <c r="R88" i="455" s="1"/>
  <c r="M344" i="457"/>
  <c r="N339" i="457"/>
  <c r="M43" i="457"/>
  <c r="P36" i="455"/>
  <c r="P245" i="457"/>
  <c r="Q68" i="455"/>
  <c r="T276" i="457"/>
  <c r="U103" i="457"/>
  <c r="Q218" i="457"/>
  <c r="Q126" i="457" s="1"/>
  <c r="Q128" i="457" s="1"/>
  <c r="Q59" i="457"/>
  <c r="Q61" i="457" s="1"/>
  <c r="Q216" i="457"/>
  <c r="Q222" i="457" s="1"/>
  <c r="Q225" i="457" s="1"/>
  <c r="R217" i="457"/>
  <c r="R221" i="457"/>
  <c r="S193" i="455"/>
  <c r="R66" i="455"/>
  <c r="P245" i="455"/>
  <c r="P139" i="455" s="1"/>
  <c r="R274" i="457"/>
  <c r="R275" i="457" s="1"/>
  <c r="R258" i="457"/>
  <c r="R269" i="457"/>
  <c r="R264" i="457"/>
  <c r="S247" i="457"/>
  <c r="R279" i="457"/>
  <c r="R284" i="457"/>
  <c r="P122" i="455"/>
  <c r="Q121" i="455"/>
  <c r="I25" i="457"/>
  <c r="I22" i="457"/>
  <c r="I24" i="457" s="1"/>
  <c r="I42" i="457" s="1"/>
  <c r="P51" i="457"/>
  <c r="G189" i="455"/>
  <c r="G196" i="455" s="1"/>
  <c r="F184" i="455"/>
  <c r="F182" i="455" s="1"/>
  <c r="F185" i="455" s="1"/>
  <c r="R109" i="455"/>
  <c r="X171" i="457"/>
  <c r="X65" i="457" s="1"/>
  <c r="W65" i="457"/>
  <c r="R154" i="457"/>
  <c r="S154" i="457" s="1"/>
  <c r="D5" i="455"/>
  <c r="D45" i="455"/>
  <c r="R269" i="455"/>
  <c r="R279" i="455"/>
  <c r="R258" i="455"/>
  <c r="R274" i="455"/>
  <c r="R284" i="455"/>
  <c r="R264" i="455"/>
  <c r="S247" i="455"/>
  <c r="R83" i="457"/>
  <c r="S83" i="457" s="1"/>
  <c r="R82" i="457"/>
  <c r="S82" i="457" s="1"/>
  <c r="O36" i="455"/>
  <c r="Q253" i="455"/>
  <c r="Q252" i="455"/>
  <c r="Q255" i="455"/>
  <c r="Q256" i="455" s="1"/>
  <c r="Q49" i="455" s="1"/>
  <c r="R221" i="455"/>
  <c r="R209" i="457"/>
  <c r="S209" i="457" s="1"/>
  <c r="O54" i="455"/>
  <c r="S143" i="457"/>
  <c r="R78" i="455"/>
  <c r="L345" i="457"/>
  <c r="L341" i="457"/>
  <c r="P53" i="455"/>
  <c r="O14" i="455"/>
  <c r="O231" i="455"/>
  <c r="O55" i="455"/>
  <c r="O163" i="455"/>
  <c r="O162" i="455"/>
  <c r="O226" i="455"/>
  <c r="P226" i="455" s="1"/>
  <c r="O62" i="455"/>
  <c r="O123" i="455"/>
  <c r="O129" i="455"/>
  <c r="T104" i="457"/>
  <c r="U104" i="457" s="1"/>
  <c r="R80" i="455"/>
  <c r="O45" i="440"/>
  <c r="D63" i="440"/>
  <c r="K363" i="457"/>
  <c r="K359" i="457"/>
  <c r="O92" i="455"/>
  <c r="O93" i="455" s="1"/>
  <c r="P91" i="455"/>
  <c r="S208" i="457"/>
  <c r="R152" i="457"/>
  <c r="R6" i="436"/>
  <c r="R251" i="455"/>
  <c r="S5" i="436"/>
  <c r="R251" i="457"/>
  <c r="V215" i="457"/>
  <c r="V172" i="457"/>
  <c r="U23" i="457"/>
  <c r="S88" i="455"/>
  <c r="P52" i="457"/>
  <c r="O116" i="457"/>
  <c r="O199" i="457"/>
  <c r="P53" i="457"/>
  <c r="V132" i="457"/>
  <c r="E33" i="455"/>
  <c r="E37" i="455" s="1"/>
  <c r="E44" i="455" s="1"/>
  <c r="E34" i="455"/>
  <c r="E212" i="455"/>
  <c r="E39" i="455" s="1"/>
  <c r="R145" i="457"/>
  <c r="I33" i="457"/>
  <c r="I37" i="457" s="1"/>
  <c r="I44" i="457" s="1"/>
  <c r="I34" i="457"/>
  <c r="I212" i="457"/>
  <c r="I39" i="457" s="1"/>
  <c r="R227" i="457"/>
  <c r="S227" i="457" s="1"/>
  <c r="S99" i="455"/>
  <c r="S100" i="455" s="1"/>
  <c r="S193" i="457"/>
  <c r="R66" i="457"/>
  <c r="R151" i="455"/>
  <c r="R207" i="457"/>
  <c r="Q210" i="457"/>
  <c r="U179" i="457"/>
  <c r="H5" i="457"/>
  <c r="H45" i="457"/>
  <c r="R158" i="457"/>
  <c r="S158" i="457" s="1"/>
  <c r="R109" i="457"/>
  <c r="R122" i="457"/>
  <c r="S121" i="457"/>
  <c r="D72" i="440"/>
  <c r="K331" i="457"/>
  <c r="L320" i="457"/>
  <c r="R60" i="455"/>
  <c r="R60" i="457"/>
  <c r="S60" i="457" s="1"/>
  <c r="Q242" i="455"/>
  <c r="R223" i="455"/>
  <c r="Q161" i="457"/>
  <c r="R157" i="457"/>
  <c r="P50" i="455"/>
  <c r="P54" i="455" s="1"/>
  <c r="P276" i="455"/>
  <c r="Q103" i="455"/>
  <c r="P275" i="455"/>
  <c r="Q145" i="457"/>
  <c r="R160" i="457"/>
  <c r="S160" i="457" s="1"/>
  <c r="R79" i="457"/>
  <c r="S79" i="457" s="1"/>
  <c r="P49" i="440"/>
  <c r="E66" i="440" s="1"/>
  <c r="P51" i="440"/>
  <c r="P55" i="440"/>
  <c r="E4" i="440"/>
  <c r="E45" i="440" s="1"/>
  <c r="P59" i="440"/>
  <c r="P52" i="440"/>
  <c r="P54" i="440"/>
  <c r="E71" i="440" s="1"/>
  <c r="E72" i="440" s="1"/>
  <c r="P56" i="440"/>
  <c r="P48" i="440"/>
  <c r="E64" i="440" s="1"/>
  <c r="P60" i="440"/>
  <c r="P53" i="440"/>
  <c r="E69" i="440" s="1"/>
  <c r="E70" i="440" s="1"/>
  <c r="P57" i="440"/>
  <c r="F2" i="440"/>
  <c r="P61" i="440"/>
  <c r="P47" i="440"/>
  <c r="P50" i="440"/>
  <c r="L361" i="457"/>
  <c r="L354" i="457"/>
  <c r="R227" i="455"/>
  <c r="I22" i="455"/>
  <c r="I24" i="455" s="1"/>
  <c r="I42" i="455" s="1"/>
  <c r="I25" i="455"/>
  <c r="S223" i="457"/>
  <c r="S153" i="457"/>
  <c r="Q132" i="455"/>
  <c r="P138" i="455"/>
  <c r="R151" i="457"/>
  <c r="R152" i="455"/>
  <c r="S88" i="457"/>
  <c r="Q218" i="455"/>
  <c r="Q126" i="455" s="1"/>
  <c r="Q128" i="455" s="1"/>
  <c r="R217" i="455"/>
  <c r="Q59" i="455"/>
  <c r="Q61" i="455" s="1"/>
  <c r="U215" i="455"/>
  <c r="O231" i="457"/>
  <c r="O14" i="457"/>
  <c r="P14" i="457" s="1"/>
  <c r="O129" i="457"/>
  <c r="O117" i="457"/>
  <c r="O123" i="457"/>
  <c r="O226" i="457"/>
  <c r="O162" i="457"/>
  <c r="O55" i="457"/>
  <c r="O139" i="457"/>
  <c r="O163" i="457"/>
  <c r="O62" i="457"/>
  <c r="Q77" i="457"/>
  <c r="U183" i="457"/>
  <c r="O54" i="457"/>
  <c r="R246" i="457"/>
  <c r="S246" i="457" s="1"/>
  <c r="R157" i="455"/>
  <c r="Q161" i="455"/>
  <c r="K189" i="457"/>
  <c r="K196" i="457" s="1"/>
  <c r="J184" i="457"/>
  <c r="J182" i="457" s="1"/>
  <c r="J185" i="457" s="1"/>
  <c r="Q210" i="455"/>
  <c r="R207" i="455"/>
  <c r="R78" i="457"/>
  <c r="S78" i="457" s="1"/>
  <c r="S153" i="455"/>
  <c r="M340" i="457"/>
  <c r="R85" i="457"/>
  <c r="S85" i="457" s="1"/>
  <c r="S143" i="455"/>
  <c r="V145" i="455"/>
  <c r="Q255" i="457"/>
  <c r="Q256" i="457" s="1"/>
  <c r="Q49" i="457" s="1"/>
  <c r="Q253" i="457"/>
  <c r="Q252" i="457"/>
  <c r="Q242" i="457"/>
  <c r="Q244" i="457" s="1"/>
  <c r="Q50" i="457" s="1"/>
  <c r="U159" i="457"/>
  <c r="T133" i="457"/>
  <c r="S138" i="457"/>
  <c r="P36" i="457"/>
  <c r="Q77" i="455"/>
  <c r="R211" i="457"/>
  <c r="S211" i="457" s="1"/>
  <c r="R209" i="455"/>
  <c r="O116" i="455"/>
  <c r="P52" i="455"/>
  <c r="O92" i="457"/>
  <c r="O93" i="457" s="1"/>
  <c r="P91" i="457"/>
  <c r="R84" i="457"/>
  <c r="S84" i="457" s="1"/>
  <c r="R211" i="455"/>
  <c r="J370" i="457"/>
  <c r="J43" i="457"/>
  <c r="R160" i="455"/>
  <c r="U249" i="455"/>
  <c r="U250" i="455" s="1"/>
  <c r="U283" i="455" s="1"/>
  <c r="V4" i="436"/>
  <c r="U249" i="457"/>
  <c r="U250" i="457" s="1"/>
  <c r="U283" i="457" s="1"/>
  <c r="R154" i="455"/>
  <c r="D74" i="440"/>
  <c r="D68" i="440"/>
  <c r="P139" i="457" l="1"/>
  <c r="P123" i="457"/>
  <c r="P129" i="455"/>
  <c r="P14" i="455"/>
  <c r="O228" i="455"/>
  <c r="O30" i="455" s="1"/>
  <c r="P55" i="457"/>
  <c r="R68" i="457"/>
  <c r="P123" i="455"/>
  <c r="R68" i="455"/>
  <c r="Q52" i="457"/>
  <c r="P62" i="457"/>
  <c r="P129" i="457"/>
  <c r="P62" i="455"/>
  <c r="P55" i="455"/>
  <c r="S68" i="457"/>
  <c r="Q36" i="457"/>
  <c r="Q91" i="457"/>
  <c r="P92" i="457"/>
  <c r="O286" i="455"/>
  <c r="P116" i="455"/>
  <c r="O285" i="455"/>
  <c r="R77" i="455"/>
  <c r="U133" i="457"/>
  <c r="T138" i="457"/>
  <c r="J33" i="457"/>
  <c r="J37" i="457" s="1"/>
  <c r="J44" i="457" s="1"/>
  <c r="J34" i="457"/>
  <c r="J212" i="457"/>
  <c r="J39" i="457" s="1"/>
  <c r="V215" i="455"/>
  <c r="S217" i="455"/>
  <c r="R218" i="455"/>
  <c r="R126" i="455" s="1"/>
  <c r="R128" i="455" s="1"/>
  <c r="R59" i="455"/>
  <c r="R61" i="455" s="1"/>
  <c r="S152" i="455"/>
  <c r="Q276" i="455"/>
  <c r="R103" i="455"/>
  <c r="Q275" i="455"/>
  <c r="R242" i="455"/>
  <c r="Q243" i="455"/>
  <c r="L321" i="457"/>
  <c r="L365" i="457" s="1"/>
  <c r="L366" i="457" s="1"/>
  <c r="L330" i="457"/>
  <c r="S207" i="457"/>
  <c r="R210" i="457"/>
  <c r="W132" i="457"/>
  <c r="W172" i="457"/>
  <c r="V23" i="457"/>
  <c r="R252" i="457"/>
  <c r="R253" i="457"/>
  <c r="R255" i="457"/>
  <c r="R256" i="457" s="1"/>
  <c r="P92" i="455"/>
  <c r="Q91" i="455"/>
  <c r="P54" i="457"/>
  <c r="O117" i="455"/>
  <c r="P117" i="455" s="1"/>
  <c r="P231" i="455"/>
  <c r="U143" i="457"/>
  <c r="S221" i="455"/>
  <c r="S284" i="455"/>
  <c r="S258" i="455"/>
  <c r="T247" i="455"/>
  <c r="T153" i="455" s="1"/>
  <c r="S274" i="455"/>
  <c r="S264" i="455"/>
  <c r="S269" i="455"/>
  <c r="S279" i="455"/>
  <c r="F34" i="455"/>
  <c r="F33" i="455"/>
  <c r="F37" i="455" s="1"/>
  <c r="F44" i="455" s="1"/>
  <c r="F212" i="455"/>
  <c r="F39" i="455" s="1"/>
  <c r="R218" i="457"/>
  <c r="R126" i="457" s="1"/>
  <c r="R128" i="457" s="1"/>
  <c r="R59" i="457"/>
  <c r="R61" i="457" s="1"/>
  <c r="S217" i="457"/>
  <c r="Q245" i="457"/>
  <c r="Q139" i="457" s="1"/>
  <c r="P8" i="455"/>
  <c r="P56" i="455"/>
  <c r="P17" i="455" s="1"/>
  <c r="N343" i="457"/>
  <c r="N344" i="457" s="1"/>
  <c r="N340" i="457"/>
  <c r="V249" i="455"/>
  <c r="V250" i="455" s="1"/>
  <c r="V283" i="455" s="1"/>
  <c r="V249" i="457"/>
  <c r="V250" i="457" s="1"/>
  <c r="V283" i="457" s="1"/>
  <c r="W4" i="436"/>
  <c r="P93" i="457"/>
  <c r="O94" i="457"/>
  <c r="O75" i="457" s="1"/>
  <c r="O95" i="457"/>
  <c r="S209" i="455"/>
  <c r="T209" i="455" s="1"/>
  <c r="T143" i="457"/>
  <c r="K184" i="457"/>
  <c r="K182" i="457" s="1"/>
  <c r="K185" i="457" s="1"/>
  <c r="L189" i="457"/>
  <c r="L196" i="457" s="1"/>
  <c r="O8" i="457"/>
  <c r="O56" i="457"/>
  <c r="O17" i="457" s="1"/>
  <c r="Q62" i="457"/>
  <c r="P162" i="457"/>
  <c r="O70" i="457"/>
  <c r="O164" i="457"/>
  <c r="Q129" i="457"/>
  <c r="R132" i="455"/>
  <c r="Q138" i="455"/>
  <c r="M353" i="457"/>
  <c r="L362" i="457"/>
  <c r="Q60" i="440"/>
  <c r="Q53" i="440"/>
  <c r="F69" i="440" s="1"/>
  <c r="F70" i="440" s="1"/>
  <c r="Q57" i="440"/>
  <c r="Q48" i="440"/>
  <c r="F64" i="440" s="1"/>
  <c r="F65" i="440" s="1"/>
  <c r="Q61" i="440"/>
  <c r="Q50" i="440"/>
  <c r="Q47" i="440"/>
  <c r="Q49" i="440"/>
  <c r="F66" i="440" s="1"/>
  <c r="F67" i="440" s="1"/>
  <c r="Q51" i="440"/>
  <c r="Q55" i="440"/>
  <c r="F4" i="440"/>
  <c r="F45" i="440" s="1"/>
  <c r="Q52" i="440"/>
  <c r="G2" i="440"/>
  <c r="Q54" i="440"/>
  <c r="F71" i="440" s="1"/>
  <c r="F72" i="440" s="1"/>
  <c r="Q59" i="440"/>
  <c r="Q56" i="440"/>
  <c r="E65" i="440"/>
  <c r="E67" i="440"/>
  <c r="Q104" i="455"/>
  <c r="T193" i="457"/>
  <c r="S66" i="457"/>
  <c r="I45" i="457"/>
  <c r="I5" i="457"/>
  <c r="Q53" i="457"/>
  <c r="S82" i="455"/>
  <c r="T82" i="455" s="1"/>
  <c r="S79" i="455"/>
  <c r="T79" i="455" s="1"/>
  <c r="S251" i="455"/>
  <c r="S6" i="436"/>
  <c r="T5" i="436"/>
  <c r="S251" i="457"/>
  <c r="S152" i="457"/>
  <c r="O95" i="455"/>
  <c r="O94" i="455"/>
  <c r="O75" i="455" s="1"/>
  <c r="P93" i="455"/>
  <c r="P162" i="455"/>
  <c r="O70" i="455"/>
  <c r="O164" i="455"/>
  <c r="O8" i="455"/>
  <c r="O56" i="455"/>
  <c r="O17" i="455" s="1"/>
  <c r="H189" i="455"/>
  <c r="H196" i="455" s="1"/>
  <c r="G184" i="455"/>
  <c r="G182" i="455" s="1"/>
  <c r="G185" i="455" s="1"/>
  <c r="R121" i="455"/>
  <c r="Q122" i="455"/>
  <c r="S284" i="457"/>
  <c r="S258" i="457"/>
  <c r="S279" i="457"/>
  <c r="T247" i="457"/>
  <c r="T78" i="457" s="1"/>
  <c r="S274" i="457"/>
  <c r="S275" i="457" s="1"/>
  <c r="S269" i="457"/>
  <c r="S264" i="457"/>
  <c r="Q244" i="455"/>
  <c r="Q52" i="455" s="1"/>
  <c r="T193" i="455"/>
  <c r="S66" i="455"/>
  <c r="U276" i="457"/>
  <c r="V103" i="457"/>
  <c r="S246" i="455"/>
  <c r="T246" i="455" s="1"/>
  <c r="M345" i="457"/>
  <c r="M341" i="457"/>
  <c r="S211" i="455"/>
  <c r="T211" i="455" s="1"/>
  <c r="O199" i="455"/>
  <c r="R242" i="457"/>
  <c r="Q243" i="457"/>
  <c r="S207" i="455"/>
  <c r="R210" i="455"/>
  <c r="P163" i="457"/>
  <c r="O12" i="457"/>
  <c r="P226" i="457"/>
  <c r="O228" i="457"/>
  <c r="O30" i="457" s="1"/>
  <c r="Q216" i="455"/>
  <c r="Q222" i="455" s="1"/>
  <c r="Q225" i="455" s="1"/>
  <c r="T153" i="457"/>
  <c r="E73" i="440"/>
  <c r="E74" i="440"/>
  <c r="E68" i="440"/>
  <c r="E63" i="440"/>
  <c r="P45" i="440"/>
  <c r="T79" i="457"/>
  <c r="S145" i="457"/>
  <c r="Q50" i="455"/>
  <c r="S60" i="455"/>
  <c r="T60" i="455" s="1"/>
  <c r="S109" i="457"/>
  <c r="V179" i="457"/>
  <c r="W179" i="457" s="1"/>
  <c r="T143" i="455"/>
  <c r="S85" i="455"/>
  <c r="T85" i="455" s="1"/>
  <c r="W215" i="457"/>
  <c r="R255" i="455"/>
  <c r="R256" i="455" s="1"/>
  <c r="R252" i="455"/>
  <c r="R253" i="455"/>
  <c r="V176" i="457"/>
  <c r="W169" i="457" s="1"/>
  <c r="W176" i="457" s="1"/>
  <c r="X169" i="457" s="1"/>
  <c r="S80" i="455"/>
  <c r="T80" i="455" s="1"/>
  <c r="P163" i="455"/>
  <c r="O12" i="455"/>
  <c r="Q53" i="455"/>
  <c r="S78" i="455"/>
  <c r="T78" i="455" s="1"/>
  <c r="T209" i="457"/>
  <c r="Q51" i="457"/>
  <c r="S158" i="455"/>
  <c r="T158" i="455" s="1"/>
  <c r="S154" i="455"/>
  <c r="T154" i="455" s="1"/>
  <c r="S160" i="455"/>
  <c r="T160" i="455" s="1"/>
  <c r="T84" i="457"/>
  <c r="S84" i="455"/>
  <c r="T84" i="455" s="1"/>
  <c r="S157" i="455"/>
  <c r="S68" i="455" s="1"/>
  <c r="R161" i="455"/>
  <c r="R77" i="457"/>
  <c r="P231" i="457"/>
  <c r="S151" i="457"/>
  <c r="T223" i="457"/>
  <c r="S227" i="455"/>
  <c r="T227" i="455" s="1"/>
  <c r="S157" i="457"/>
  <c r="R161" i="457"/>
  <c r="S223" i="455"/>
  <c r="T223" i="455" s="1"/>
  <c r="K367" i="457"/>
  <c r="K368" i="457" s="1"/>
  <c r="K332" i="457"/>
  <c r="K371" i="457" s="1"/>
  <c r="K327" i="457"/>
  <c r="K369" i="457" s="1"/>
  <c r="K370" i="457" s="1"/>
  <c r="S122" i="457"/>
  <c r="T121" i="457"/>
  <c r="U121" i="457" s="1"/>
  <c r="V121" i="457" s="1"/>
  <c r="W121" i="457" s="1"/>
  <c r="X121" i="457" s="1"/>
  <c r="T158" i="457"/>
  <c r="S151" i="455"/>
  <c r="T99" i="455"/>
  <c r="E5" i="455"/>
  <c r="E45" i="455"/>
  <c r="O286" i="457"/>
  <c r="P116" i="457"/>
  <c r="P117" i="457" s="1"/>
  <c r="O285" i="457"/>
  <c r="W145" i="455"/>
  <c r="X145" i="455" s="1"/>
  <c r="T208" i="457"/>
  <c r="S83" i="455"/>
  <c r="T83" i="455" s="1"/>
  <c r="V104" i="457"/>
  <c r="S109" i="455"/>
  <c r="S208" i="455"/>
  <c r="T208" i="455" s="1"/>
  <c r="S221" i="457"/>
  <c r="S80" i="457"/>
  <c r="T80" i="457" s="1"/>
  <c r="P228" i="455"/>
  <c r="P30" i="455" s="1"/>
  <c r="T88" i="457" l="1"/>
  <c r="T85" i="457"/>
  <c r="T211" i="457"/>
  <c r="T60" i="457"/>
  <c r="T83" i="457"/>
  <c r="T68" i="455"/>
  <c r="Q226" i="457"/>
  <c r="P228" i="457"/>
  <c r="P30" i="457" s="1"/>
  <c r="O87" i="455"/>
  <c r="O265" i="455"/>
  <c r="O266" i="455"/>
  <c r="S255" i="457"/>
  <c r="S256" i="457" s="1"/>
  <c r="S253" i="457"/>
  <c r="S252" i="457"/>
  <c r="M354" i="457"/>
  <c r="M361" i="457"/>
  <c r="S103" i="455"/>
  <c r="R276" i="455"/>
  <c r="R275" i="455"/>
  <c r="Q116" i="457"/>
  <c r="P286" i="457"/>
  <c r="P285" i="457"/>
  <c r="T151" i="455"/>
  <c r="S77" i="457"/>
  <c r="U78" i="455"/>
  <c r="Q36" i="455"/>
  <c r="P12" i="457"/>
  <c r="U211" i="455"/>
  <c r="U193" i="455"/>
  <c r="T66" i="455"/>
  <c r="H184" i="455"/>
  <c r="H182" i="455" s="1"/>
  <c r="H185" i="455" s="1"/>
  <c r="I189" i="455"/>
  <c r="I196" i="455" s="1"/>
  <c r="P164" i="455"/>
  <c r="P95" i="455"/>
  <c r="T251" i="457"/>
  <c r="U5" i="436"/>
  <c r="T251" i="455"/>
  <c r="T6" i="436"/>
  <c r="R104" i="455"/>
  <c r="S104" i="455" s="1"/>
  <c r="Q45" i="440"/>
  <c r="F63" i="440"/>
  <c r="L363" i="457"/>
  <c r="L359" i="457"/>
  <c r="O21" i="457"/>
  <c r="P95" i="457"/>
  <c r="P56" i="457"/>
  <c r="P17" i="457" s="1"/>
  <c r="P8" i="457"/>
  <c r="X172" i="457"/>
  <c r="W23" i="457"/>
  <c r="S210" i="457"/>
  <c r="T207" i="457"/>
  <c r="R243" i="455"/>
  <c r="S242" i="455"/>
  <c r="T152" i="455"/>
  <c r="S218" i="455"/>
  <c r="S126" i="455" s="1"/>
  <c r="S128" i="455" s="1"/>
  <c r="T217" i="455"/>
  <c r="S59" i="455"/>
  <c r="S61" i="455" s="1"/>
  <c r="Q55" i="457"/>
  <c r="V133" i="457"/>
  <c r="U138" i="457"/>
  <c r="Q116" i="455"/>
  <c r="P286" i="455"/>
  <c r="P285" i="455"/>
  <c r="G34" i="455"/>
  <c r="G212" i="455"/>
  <c r="G39" i="455" s="1"/>
  <c r="G33" i="455"/>
  <c r="G37" i="455" s="1"/>
  <c r="G44" i="455" s="1"/>
  <c r="O21" i="455"/>
  <c r="P70" i="455"/>
  <c r="W249" i="457"/>
  <c r="W250" i="457" s="1"/>
  <c r="W283" i="457" s="1"/>
  <c r="X4" i="436"/>
  <c r="W249" i="455"/>
  <c r="W250" i="455" s="1"/>
  <c r="W283" i="455" s="1"/>
  <c r="P21" i="455"/>
  <c r="Q92" i="457"/>
  <c r="R92" i="457" s="1"/>
  <c r="S92" i="457" s="1"/>
  <c r="T92" i="457" s="1"/>
  <c r="R91" i="457"/>
  <c r="S91" i="457" s="1"/>
  <c r="T91" i="457" s="1"/>
  <c r="U99" i="455"/>
  <c r="T157" i="457"/>
  <c r="S161" i="457"/>
  <c r="Q123" i="457"/>
  <c r="U80" i="455"/>
  <c r="P199" i="457"/>
  <c r="Q14" i="457"/>
  <c r="Q163" i="457"/>
  <c r="T207" i="455"/>
  <c r="S210" i="455"/>
  <c r="R243" i="457"/>
  <c r="S242" i="457"/>
  <c r="V276" i="457"/>
  <c r="W103" i="457"/>
  <c r="Q245" i="455"/>
  <c r="Q162" i="455" s="1"/>
  <c r="R244" i="455"/>
  <c r="Q51" i="455"/>
  <c r="T284" i="457"/>
  <c r="T264" i="457"/>
  <c r="T274" i="457"/>
  <c r="T275" i="457" s="1"/>
  <c r="T269" i="457"/>
  <c r="T279" i="457"/>
  <c r="U247" i="457"/>
  <c r="U209" i="457" s="1"/>
  <c r="T258" i="457"/>
  <c r="T154" i="457"/>
  <c r="F73" i="440"/>
  <c r="R138" i="455"/>
  <c r="S132" i="455"/>
  <c r="P70" i="457"/>
  <c r="V143" i="457"/>
  <c r="W143" i="457" s="1"/>
  <c r="O87" i="457"/>
  <c r="P75" i="457"/>
  <c r="O266" i="457"/>
  <c r="O265" i="457"/>
  <c r="R216" i="457"/>
  <c r="R222" i="457" s="1"/>
  <c r="R225" i="457" s="1"/>
  <c r="Q231" i="455"/>
  <c r="R91" i="455"/>
  <c r="S91" i="455" s="1"/>
  <c r="T91" i="455" s="1"/>
  <c r="Q92" i="455"/>
  <c r="T88" i="455"/>
  <c r="T227" i="457"/>
  <c r="U227" i="457" s="1"/>
  <c r="M320" i="457"/>
  <c r="L331" i="457"/>
  <c r="T160" i="457"/>
  <c r="U160" i="457" s="1"/>
  <c r="R216" i="455"/>
  <c r="R222" i="455" s="1"/>
  <c r="R225" i="455" s="1"/>
  <c r="T246" i="457"/>
  <c r="S77" i="455"/>
  <c r="Q54" i="455"/>
  <c r="Q54" i="457"/>
  <c r="Q231" i="457"/>
  <c r="U79" i="457"/>
  <c r="P199" i="455"/>
  <c r="F68" i="440"/>
  <c r="F74" i="440"/>
  <c r="K34" i="457"/>
  <c r="K33" i="457"/>
  <c r="K37" i="457" s="1"/>
  <c r="K44" i="457" s="1"/>
  <c r="K212" i="457"/>
  <c r="K39" i="457" s="1"/>
  <c r="X132" i="457"/>
  <c r="Q117" i="457"/>
  <c r="T221" i="457"/>
  <c r="T109" i="455"/>
  <c r="T151" i="457"/>
  <c r="S161" i="455"/>
  <c r="T157" i="455"/>
  <c r="U83" i="457"/>
  <c r="P12" i="455"/>
  <c r="X176" i="457"/>
  <c r="X179" i="457" s="1"/>
  <c r="X215" i="457"/>
  <c r="T109" i="457"/>
  <c r="V183" i="457"/>
  <c r="W183" i="457" s="1"/>
  <c r="U211" i="457"/>
  <c r="S121" i="455"/>
  <c r="R122" i="455"/>
  <c r="T82" i="457"/>
  <c r="P94" i="455"/>
  <c r="P75" i="455" s="1"/>
  <c r="T152" i="457"/>
  <c r="S253" i="455"/>
  <c r="S252" i="455"/>
  <c r="S255" i="455"/>
  <c r="S256" i="455" s="1"/>
  <c r="T145" i="457"/>
  <c r="U193" i="457"/>
  <c r="T66" i="457"/>
  <c r="R49" i="440"/>
  <c r="G66" i="440" s="1"/>
  <c r="G67" i="440" s="1"/>
  <c r="R51" i="440"/>
  <c r="R55" i="440"/>
  <c r="G4" i="440"/>
  <c r="G45" i="440" s="1"/>
  <c r="R59" i="440"/>
  <c r="R52" i="440"/>
  <c r="R54" i="440"/>
  <c r="G71" i="440" s="1"/>
  <c r="G72" i="440" s="1"/>
  <c r="R56" i="440"/>
  <c r="S47" i="440"/>
  <c r="R48" i="440"/>
  <c r="G64" i="440" s="1"/>
  <c r="G65" i="440" s="1"/>
  <c r="R60" i="440"/>
  <c r="R53" i="440"/>
  <c r="G69" i="440" s="1"/>
  <c r="G70" i="440" s="1"/>
  <c r="R57" i="440"/>
  <c r="R50" i="440"/>
  <c r="G73" i="440" s="1"/>
  <c r="T47" i="440"/>
  <c r="R61" i="440"/>
  <c r="R47" i="440"/>
  <c r="Q162" i="457"/>
  <c r="P164" i="457"/>
  <c r="M189" i="457"/>
  <c r="M196" i="457" s="1"/>
  <c r="L184" i="457"/>
  <c r="L182" i="457" s="1"/>
  <c r="L185" i="457" s="1"/>
  <c r="V159" i="457"/>
  <c r="W159" i="457" s="1"/>
  <c r="X159" i="457" s="1"/>
  <c r="P94" i="457"/>
  <c r="N341" i="457"/>
  <c r="N345" i="457"/>
  <c r="R244" i="457"/>
  <c r="R51" i="457" s="1"/>
  <c r="S59" i="457"/>
  <c r="S61" i="457" s="1"/>
  <c r="S218" i="457"/>
  <c r="S126" i="457" s="1"/>
  <c r="S128" i="457" s="1"/>
  <c r="T217" i="457"/>
  <c r="F45" i="455"/>
  <c r="F5" i="455"/>
  <c r="T274" i="455"/>
  <c r="T264" i="455"/>
  <c r="T279" i="455"/>
  <c r="T269" i="455"/>
  <c r="T284" i="455"/>
  <c r="U247" i="455"/>
  <c r="U154" i="455" s="1"/>
  <c r="T258" i="455"/>
  <c r="T221" i="455"/>
  <c r="W215" i="455"/>
  <c r="J5" i="457"/>
  <c r="J45" i="457"/>
  <c r="J372" i="457"/>
  <c r="U143" i="455"/>
  <c r="T100" i="455"/>
  <c r="U100" i="455" s="1"/>
  <c r="U160" i="455" l="1"/>
  <c r="U88" i="455"/>
  <c r="U84" i="457"/>
  <c r="U158" i="457"/>
  <c r="U246" i="455"/>
  <c r="Q12" i="457"/>
  <c r="Q117" i="455"/>
  <c r="U82" i="457"/>
  <c r="U85" i="457"/>
  <c r="R92" i="455"/>
  <c r="S92" i="455" s="1"/>
  <c r="T92" i="455" s="1"/>
  <c r="U153" i="457"/>
  <c r="U158" i="455"/>
  <c r="Q163" i="455"/>
  <c r="U60" i="457"/>
  <c r="U223" i="455"/>
  <c r="U246" i="457"/>
  <c r="U154" i="457"/>
  <c r="R51" i="455"/>
  <c r="U208" i="457"/>
  <c r="U84" i="455"/>
  <c r="U60" i="455"/>
  <c r="U109" i="457"/>
  <c r="Q199" i="455"/>
  <c r="Q8" i="455"/>
  <c r="U157" i="457"/>
  <c r="T161" i="457"/>
  <c r="S243" i="455"/>
  <c r="T242" i="455"/>
  <c r="T252" i="455"/>
  <c r="T253" i="455"/>
  <c r="T255" i="455"/>
  <c r="T256" i="455" s="1"/>
  <c r="H34" i="455"/>
  <c r="H33" i="455"/>
  <c r="H37" i="455" s="1"/>
  <c r="H44" i="455" s="1"/>
  <c r="H212" i="455"/>
  <c r="H39" i="455" s="1"/>
  <c r="X215" i="455"/>
  <c r="L33" i="457"/>
  <c r="L37" i="457" s="1"/>
  <c r="L44" i="457" s="1"/>
  <c r="L212" i="457"/>
  <c r="L39" i="457" s="1"/>
  <c r="L34" i="457"/>
  <c r="H47" i="440"/>
  <c r="I47" i="440" s="1"/>
  <c r="U152" i="457"/>
  <c r="T77" i="455"/>
  <c r="R36" i="457"/>
  <c r="Q70" i="457"/>
  <c r="R245" i="455"/>
  <c r="R163" i="455" s="1"/>
  <c r="S244" i="455"/>
  <c r="S51" i="455" s="1"/>
  <c r="V5" i="436"/>
  <c r="U251" i="457"/>
  <c r="U251" i="455"/>
  <c r="U6" i="436"/>
  <c r="M362" i="457"/>
  <c r="N353" i="457"/>
  <c r="Q93" i="457"/>
  <c r="Q95" i="457" s="1"/>
  <c r="M184" i="457"/>
  <c r="M182" i="457" s="1"/>
  <c r="M185" i="457" s="1"/>
  <c r="N189" i="457"/>
  <c r="N196" i="457" s="1"/>
  <c r="G74" i="440"/>
  <c r="G68" i="440"/>
  <c r="R45" i="440"/>
  <c r="G63" i="440"/>
  <c r="X183" i="457"/>
  <c r="U85" i="455"/>
  <c r="Q12" i="455"/>
  <c r="U227" i="455"/>
  <c r="U208" i="455"/>
  <c r="M321" i="457"/>
  <c r="M365" i="457" s="1"/>
  <c r="M366" i="457" s="1"/>
  <c r="M330" i="457"/>
  <c r="U91" i="455"/>
  <c r="O271" i="457"/>
  <c r="O270" i="457"/>
  <c r="O89" i="457"/>
  <c r="P268" i="457"/>
  <c r="T132" i="455"/>
  <c r="S138" i="455"/>
  <c r="U269" i="457"/>
  <c r="U274" i="457"/>
  <c r="U275" i="457" s="1"/>
  <c r="U258" i="457"/>
  <c r="U264" i="457"/>
  <c r="V247" i="457"/>
  <c r="U284" i="457"/>
  <c r="U279" i="457"/>
  <c r="T210" i="455"/>
  <c r="U207" i="455"/>
  <c r="R50" i="455"/>
  <c r="S50" i="455" s="1"/>
  <c r="R53" i="455"/>
  <c r="Q70" i="455"/>
  <c r="G5" i="455"/>
  <c r="G45" i="455"/>
  <c r="U88" i="457"/>
  <c r="U223" i="457"/>
  <c r="Q286" i="455"/>
  <c r="Q285" i="455"/>
  <c r="T210" i="457"/>
  <c r="U207" i="457"/>
  <c r="X23" i="457"/>
  <c r="U82" i="455"/>
  <c r="T253" i="457"/>
  <c r="T255" i="457"/>
  <c r="T256" i="457" s="1"/>
  <c r="T252" i="457"/>
  <c r="U151" i="455"/>
  <c r="U83" i="455"/>
  <c r="T68" i="457"/>
  <c r="U78" i="457"/>
  <c r="U221" i="455"/>
  <c r="Q164" i="457"/>
  <c r="K45" i="457"/>
  <c r="K5" i="457"/>
  <c r="K372" i="457"/>
  <c r="R36" i="455"/>
  <c r="W276" i="457"/>
  <c r="X103" i="457"/>
  <c r="Q199" i="457"/>
  <c r="X249" i="457"/>
  <c r="X250" i="457" s="1"/>
  <c r="X283" i="457" s="1"/>
  <c r="Y4" i="436"/>
  <c r="Z4" i="436" s="1"/>
  <c r="AA4" i="436" s="1"/>
  <c r="AB4" i="436" s="1"/>
  <c r="AC4" i="436" s="1"/>
  <c r="AD4" i="436" s="1"/>
  <c r="AE4" i="436" s="1"/>
  <c r="AF4" i="436" s="1"/>
  <c r="AG4" i="436" s="1"/>
  <c r="AH4" i="436" s="1"/>
  <c r="AI4" i="436" s="1"/>
  <c r="AJ4" i="436" s="1"/>
  <c r="AK4" i="436" s="1"/>
  <c r="AL4" i="436" s="1"/>
  <c r="AM4" i="436" s="1"/>
  <c r="AN4" i="436" s="1"/>
  <c r="AO4" i="436" s="1"/>
  <c r="AP4" i="436" s="1"/>
  <c r="AQ4" i="436" s="1"/>
  <c r="AR4" i="436" s="1"/>
  <c r="AS4" i="436" s="1"/>
  <c r="AT4" i="436" s="1"/>
  <c r="AU4" i="436" s="1"/>
  <c r="AV4" i="436" s="1"/>
  <c r="AW4" i="436" s="1"/>
  <c r="AX4" i="436" s="1"/>
  <c r="AY4" i="436" s="1"/>
  <c r="AZ4" i="436" s="1"/>
  <c r="BA4" i="436" s="1"/>
  <c r="BB4" i="436" s="1"/>
  <c r="BC4" i="436" s="1"/>
  <c r="BD4" i="436" s="1"/>
  <c r="BE4" i="436" s="1"/>
  <c r="BF4" i="436" s="1"/>
  <c r="X249" i="455"/>
  <c r="X250" i="455" s="1"/>
  <c r="X283" i="455" s="1"/>
  <c r="W133" i="457"/>
  <c r="V138" i="457"/>
  <c r="T59" i="455"/>
  <c r="T61" i="455" s="1"/>
  <c r="T218" i="455"/>
  <c r="T126" i="455" s="1"/>
  <c r="T128" i="455" s="1"/>
  <c r="U217" i="455"/>
  <c r="P21" i="457"/>
  <c r="O89" i="455"/>
  <c r="O270" i="455"/>
  <c r="O271" i="455"/>
  <c r="P268" i="455"/>
  <c r="S216" i="457"/>
  <c r="S222" i="457" s="1"/>
  <c r="S225" i="457" s="1"/>
  <c r="T161" i="455"/>
  <c r="U157" i="455"/>
  <c r="U151" i="457"/>
  <c r="U109" i="455"/>
  <c r="P87" i="457"/>
  <c r="P265" i="457"/>
  <c r="P266" i="457"/>
  <c r="Q164" i="455"/>
  <c r="T77" i="457"/>
  <c r="Q286" i="457"/>
  <c r="Q285" i="457"/>
  <c r="S276" i="455"/>
  <c r="T103" i="455"/>
  <c r="T104" i="455" s="1"/>
  <c r="S275" i="455"/>
  <c r="P265" i="455"/>
  <c r="P266" i="455"/>
  <c r="P87" i="455"/>
  <c r="U274" i="455"/>
  <c r="U284" i="455"/>
  <c r="U269" i="455"/>
  <c r="U258" i="455"/>
  <c r="U279" i="455"/>
  <c r="V247" i="455"/>
  <c r="V60" i="455" s="1"/>
  <c r="U264" i="455"/>
  <c r="U217" i="457"/>
  <c r="T59" i="457"/>
  <c r="T61" i="457" s="1"/>
  <c r="T218" i="457"/>
  <c r="T126" i="457" s="1"/>
  <c r="T128" i="457" s="1"/>
  <c r="S244" i="457"/>
  <c r="R245" i="457"/>
  <c r="R163" i="457" s="1"/>
  <c r="R12" i="457" s="1"/>
  <c r="R50" i="457"/>
  <c r="R52" i="457"/>
  <c r="S52" i="457" s="1"/>
  <c r="R49" i="457"/>
  <c r="V193" i="457"/>
  <c r="U66" i="457"/>
  <c r="Q93" i="455"/>
  <c r="T121" i="455"/>
  <c r="U121" i="455" s="1"/>
  <c r="V121" i="455" s="1"/>
  <c r="W121" i="455" s="1"/>
  <c r="X121" i="455" s="1"/>
  <c r="S122" i="455"/>
  <c r="U145" i="457"/>
  <c r="V145" i="457" s="1"/>
  <c r="V83" i="457"/>
  <c r="U221" i="457"/>
  <c r="U79" i="455"/>
  <c r="Q8" i="457"/>
  <c r="Q56" i="457"/>
  <c r="Q17" i="457" s="1"/>
  <c r="L327" i="457"/>
  <c r="L369" i="457" s="1"/>
  <c r="L370" i="457" s="1"/>
  <c r="L367" i="457"/>
  <c r="L368" i="457" s="1"/>
  <c r="L332" i="457"/>
  <c r="L371" i="457" s="1"/>
  <c r="X143" i="457"/>
  <c r="R53" i="457"/>
  <c r="S53" i="457" s="1"/>
  <c r="Q139" i="455"/>
  <c r="Q226" i="455"/>
  <c r="Q123" i="455"/>
  <c r="R123" i="455" s="1"/>
  <c r="Q14" i="455"/>
  <c r="Q55" i="455"/>
  <c r="Q56" i="455" s="1"/>
  <c r="Q17" i="455" s="1"/>
  <c r="Q62" i="455"/>
  <c r="Q129" i="455"/>
  <c r="R129" i="455" s="1"/>
  <c r="S243" i="457"/>
  <c r="T242" i="457"/>
  <c r="V84" i="457"/>
  <c r="V99" i="455"/>
  <c r="U91" i="457"/>
  <c r="V91" i="457" s="1"/>
  <c r="V143" i="455"/>
  <c r="W104" i="457"/>
  <c r="X104" i="457" s="1"/>
  <c r="S216" i="455"/>
  <c r="S222" i="455" s="1"/>
  <c r="S225" i="455" s="1"/>
  <c r="U152" i="455"/>
  <c r="J189" i="455"/>
  <c r="J196" i="455" s="1"/>
  <c r="I184" i="455"/>
  <c r="I182" i="455" s="1"/>
  <c r="I185" i="455" s="1"/>
  <c r="V193" i="455"/>
  <c r="U66" i="455"/>
  <c r="R52" i="455"/>
  <c r="R116" i="455" s="1"/>
  <c r="U80" i="457"/>
  <c r="U209" i="455"/>
  <c r="Q228" i="457"/>
  <c r="Q30" i="457" s="1"/>
  <c r="U153" i="455"/>
  <c r="R49" i="455"/>
  <c r="R62" i="455" l="1"/>
  <c r="S62" i="455" s="1"/>
  <c r="S50" i="457"/>
  <c r="V79" i="455"/>
  <c r="V91" i="455"/>
  <c r="V209" i="455"/>
  <c r="U68" i="457"/>
  <c r="S49" i="455"/>
  <c r="R54" i="455"/>
  <c r="V66" i="455"/>
  <c r="W193" i="455"/>
  <c r="R226" i="455"/>
  <c r="Q228" i="455"/>
  <c r="Q30" i="455" s="1"/>
  <c r="Q94" i="455"/>
  <c r="R93" i="455"/>
  <c r="S93" i="455" s="1"/>
  <c r="T93" i="455" s="1"/>
  <c r="S49" i="457"/>
  <c r="R54" i="457"/>
  <c r="R129" i="457"/>
  <c r="R139" i="457"/>
  <c r="R62" i="457"/>
  <c r="R123" i="457"/>
  <c r="V109" i="455"/>
  <c r="V151" i="457"/>
  <c r="S36" i="457"/>
  <c r="X133" i="457"/>
  <c r="X138" i="457" s="1"/>
  <c r="W138" i="457"/>
  <c r="V68" i="457"/>
  <c r="V151" i="455"/>
  <c r="U210" i="457"/>
  <c r="V207" i="457"/>
  <c r="R286" i="455"/>
  <c r="R285" i="455"/>
  <c r="U210" i="455"/>
  <c r="V207" i="455"/>
  <c r="V284" i="457"/>
  <c r="V264" i="457"/>
  <c r="V279" i="457"/>
  <c r="W247" i="457"/>
  <c r="W83" i="457" s="1"/>
  <c r="V274" i="457"/>
  <c r="V275" i="457" s="1"/>
  <c r="V269" i="457"/>
  <c r="V258" i="457"/>
  <c r="V79" i="457"/>
  <c r="W79" i="457" s="1"/>
  <c r="R12" i="455"/>
  <c r="O189" i="457"/>
  <c r="N184" i="457"/>
  <c r="N182" i="457" s="1"/>
  <c r="N354" i="457"/>
  <c r="N361" i="457"/>
  <c r="N362" i="457" s="1"/>
  <c r="V6" i="436"/>
  <c r="V251" i="457"/>
  <c r="W5" i="436"/>
  <c r="V251" i="455"/>
  <c r="V158" i="457"/>
  <c r="W158" i="457" s="1"/>
  <c r="V160" i="457"/>
  <c r="V85" i="457"/>
  <c r="W85" i="457" s="1"/>
  <c r="H5" i="455"/>
  <c r="H45" i="455"/>
  <c r="T243" i="455"/>
  <c r="U242" i="455"/>
  <c r="U161" i="457"/>
  <c r="V157" i="457"/>
  <c r="R199" i="455"/>
  <c r="V153" i="455"/>
  <c r="V80" i="457"/>
  <c r="I34" i="455"/>
  <c r="I212" i="455"/>
  <c r="I39" i="455" s="1"/>
  <c r="I33" i="455"/>
  <c r="I37" i="455" s="1"/>
  <c r="I44" i="455" s="1"/>
  <c r="W99" i="455"/>
  <c r="T243" i="457"/>
  <c r="U242" i="457"/>
  <c r="R55" i="455"/>
  <c r="R139" i="455"/>
  <c r="V227" i="457"/>
  <c r="W227" i="457" s="1"/>
  <c r="V246" i="457"/>
  <c r="W246" i="457" s="1"/>
  <c r="W145" i="457"/>
  <c r="X145" i="457" s="1"/>
  <c r="T244" i="457"/>
  <c r="S245" i="457"/>
  <c r="S163" i="457" s="1"/>
  <c r="U218" i="457"/>
  <c r="U126" i="457" s="1"/>
  <c r="U128" i="457" s="1"/>
  <c r="V217" i="457"/>
  <c r="U59" i="457"/>
  <c r="U61" i="457" s="1"/>
  <c r="R117" i="455"/>
  <c r="P89" i="455"/>
  <c r="P271" i="455"/>
  <c r="P270" i="455"/>
  <c r="Q268" i="455"/>
  <c r="T276" i="455"/>
  <c r="U103" i="455"/>
  <c r="U104" i="455" s="1"/>
  <c r="T275" i="455"/>
  <c r="R116" i="457"/>
  <c r="R162" i="455"/>
  <c r="V153" i="457"/>
  <c r="W153" i="457" s="1"/>
  <c r="P89" i="457"/>
  <c r="P270" i="457"/>
  <c r="P271" i="457"/>
  <c r="Q268" i="457"/>
  <c r="V157" i="455"/>
  <c r="U161" i="455"/>
  <c r="W143" i="455"/>
  <c r="X143" i="455" s="1"/>
  <c r="T216" i="455"/>
  <c r="T222" i="455" s="1"/>
  <c r="T225" i="455" s="1"/>
  <c r="V158" i="455"/>
  <c r="V208" i="457"/>
  <c r="W208" i="457" s="1"/>
  <c r="X276" i="457"/>
  <c r="R231" i="455"/>
  <c r="V211" i="457"/>
  <c r="W211" i="457" s="1"/>
  <c r="V221" i="455"/>
  <c r="V83" i="455"/>
  <c r="V82" i="455"/>
  <c r="V223" i="457"/>
  <c r="W223" i="457" s="1"/>
  <c r="N320" i="457"/>
  <c r="M331" i="457"/>
  <c r="V60" i="457"/>
  <c r="W60" i="457" s="1"/>
  <c r="V85" i="455"/>
  <c r="M33" i="457"/>
  <c r="M37" i="457" s="1"/>
  <c r="M44" i="457" s="1"/>
  <c r="M34" i="457"/>
  <c r="M212" i="457"/>
  <c r="M39" i="457" s="1"/>
  <c r="M359" i="457"/>
  <c r="M363" i="457"/>
  <c r="R55" i="457"/>
  <c r="V80" i="455"/>
  <c r="L5" i="457"/>
  <c r="L372" i="457"/>
  <c r="L45" i="457"/>
  <c r="U68" i="455"/>
  <c r="R14" i="457"/>
  <c r="V160" i="455"/>
  <c r="S52" i="455"/>
  <c r="K189" i="455"/>
  <c r="K196" i="455" s="1"/>
  <c r="J184" i="455"/>
  <c r="J182" i="455" s="1"/>
  <c r="J185" i="455" s="1"/>
  <c r="V152" i="455"/>
  <c r="R14" i="455"/>
  <c r="S14" i="455" s="1"/>
  <c r="Q21" i="457"/>
  <c r="W193" i="457"/>
  <c r="V66" i="457"/>
  <c r="T50" i="457"/>
  <c r="U92" i="455"/>
  <c r="V92" i="455" s="1"/>
  <c r="V88" i="455"/>
  <c r="V100" i="455"/>
  <c r="V88" i="457"/>
  <c r="W88" i="457" s="1"/>
  <c r="S53" i="455"/>
  <c r="U132" i="455"/>
  <c r="T138" i="455"/>
  <c r="V227" i="455"/>
  <c r="Q94" i="457"/>
  <c r="R93" i="457"/>
  <c r="S93" i="457" s="1"/>
  <c r="T93" i="457" s="1"/>
  <c r="U252" i="455"/>
  <c r="U253" i="455"/>
  <c r="U255" i="455"/>
  <c r="U256" i="455" s="1"/>
  <c r="V246" i="455"/>
  <c r="U77" i="455"/>
  <c r="V152" i="457"/>
  <c r="U92" i="457"/>
  <c r="V92" i="457" s="1"/>
  <c r="R231" i="457"/>
  <c r="S51" i="457"/>
  <c r="T51" i="457" s="1"/>
  <c r="R226" i="457"/>
  <c r="Q95" i="455"/>
  <c r="S36" i="455"/>
  <c r="W91" i="457"/>
  <c r="W84" i="457"/>
  <c r="T53" i="457"/>
  <c r="V221" i="457"/>
  <c r="T216" i="457"/>
  <c r="T222" i="457" s="1"/>
  <c r="T225" i="457" s="1"/>
  <c r="V274" i="455"/>
  <c r="V269" i="455"/>
  <c r="V258" i="455"/>
  <c r="V279" i="455"/>
  <c r="V284" i="455"/>
  <c r="V264" i="455"/>
  <c r="W247" i="455"/>
  <c r="W79" i="455" s="1"/>
  <c r="U77" i="457"/>
  <c r="V84" i="455"/>
  <c r="R117" i="457"/>
  <c r="V82" i="457"/>
  <c r="W82" i="457" s="1"/>
  <c r="V217" i="455"/>
  <c r="U218" i="455"/>
  <c r="U126" i="455" s="1"/>
  <c r="U128" i="455" s="1"/>
  <c r="U59" i="455"/>
  <c r="U61" i="455" s="1"/>
  <c r="U216" i="455"/>
  <c r="U222" i="455" s="1"/>
  <c r="U225" i="455" s="1"/>
  <c r="R199" i="457"/>
  <c r="V154" i="457"/>
  <c r="W154" i="457" s="1"/>
  <c r="R162" i="457"/>
  <c r="V78" i="457"/>
  <c r="W78" i="457" s="1"/>
  <c r="V208" i="455"/>
  <c r="V209" i="457"/>
  <c r="W209" i="457" s="1"/>
  <c r="V78" i="455"/>
  <c r="W78" i="455" s="1"/>
  <c r="U253" i="457"/>
  <c r="U252" i="457"/>
  <c r="U255" i="457"/>
  <c r="U256" i="457" s="1"/>
  <c r="T244" i="455"/>
  <c r="S245" i="455"/>
  <c r="S163" i="455" s="1"/>
  <c r="V223" i="455"/>
  <c r="V211" i="455"/>
  <c r="Q21" i="455"/>
  <c r="V109" i="457"/>
  <c r="V154" i="455"/>
  <c r="W211" i="455" l="1"/>
  <c r="X211" i="455" s="1"/>
  <c r="W84" i="455"/>
  <c r="S123" i="455"/>
  <c r="T52" i="455"/>
  <c r="W154" i="455"/>
  <c r="W223" i="455"/>
  <c r="W208" i="455"/>
  <c r="X208" i="455" s="1"/>
  <c r="S129" i="455"/>
  <c r="R95" i="455"/>
  <c r="S95" i="455" s="1"/>
  <c r="T95" i="455" s="1"/>
  <c r="W246" i="455"/>
  <c r="U93" i="457"/>
  <c r="V93" i="457" s="1"/>
  <c r="W93" i="457" s="1"/>
  <c r="W85" i="455"/>
  <c r="S139" i="455"/>
  <c r="W80" i="457"/>
  <c r="W160" i="457"/>
  <c r="W68" i="457" s="1"/>
  <c r="W92" i="457"/>
  <c r="T53" i="455"/>
  <c r="V68" i="455"/>
  <c r="W82" i="455"/>
  <c r="X82" i="455" s="1"/>
  <c r="S55" i="455"/>
  <c r="W60" i="455"/>
  <c r="S12" i="457"/>
  <c r="U36" i="455"/>
  <c r="V77" i="457"/>
  <c r="W152" i="457"/>
  <c r="S162" i="455"/>
  <c r="R164" i="455"/>
  <c r="W6" i="436"/>
  <c r="W251" i="457"/>
  <c r="X5" i="436"/>
  <c r="W251" i="455"/>
  <c r="W151" i="457"/>
  <c r="R8" i="457"/>
  <c r="R56" i="457"/>
  <c r="R17" i="457" s="1"/>
  <c r="R8" i="455"/>
  <c r="R56" i="455"/>
  <c r="R17" i="455" s="1"/>
  <c r="W109" i="457"/>
  <c r="R95" i="457"/>
  <c r="S95" i="457" s="1"/>
  <c r="T95" i="457" s="1"/>
  <c r="T36" i="457"/>
  <c r="S231" i="457"/>
  <c r="W227" i="455"/>
  <c r="W88" i="455"/>
  <c r="W152" i="455"/>
  <c r="W80" i="455"/>
  <c r="X80" i="455" s="1"/>
  <c r="M5" i="457"/>
  <c r="M45" i="457"/>
  <c r="W83" i="455"/>
  <c r="S231" i="455"/>
  <c r="W158" i="455"/>
  <c r="W157" i="455"/>
  <c r="V161" i="455"/>
  <c r="R286" i="457"/>
  <c r="S116" i="457"/>
  <c r="R285" i="457"/>
  <c r="U216" i="457"/>
  <c r="U222" i="457" s="1"/>
  <c r="U225" i="457" s="1"/>
  <c r="U244" i="457"/>
  <c r="U50" i="457" s="1"/>
  <c r="T245" i="457"/>
  <c r="T120" i="457" s="1"/>
  <c r="U243" i="457"/>
  <c r="V242" i="457"/>
  <c r="X80" i="457"/>
  <c r="V161" i="457"/>
  <c r="W157" i="457"/>
  <c r="V252" i="457"/>
  <c r="V253" i="457"/>
  <c r="V255" i="457"/>
  <c r="V256" i="457" s="1"/>
  <c r="N185" i="457"/>
  <c r="O182" i="457"/>
  <c r="W91" i="455"/>
  <c r="W92" i="455" s="1"/>
  <c r="W284" i="457"/>
  <c r="W258" i="457"/>
  <c r="W279" i="457"/>
  <c r="W264" i="457"/>
  <c r="X247" i="457"/>
  <c r="W274" i="457"/>
  <c r="W275" i="457" s="1"/>
  <c r="W269" i="457"/>
  <c r="V210" i="455"/>
  <c r="W207" i="455"/>
  <c r="S116" i="455"/>
  <c r="S62" i="457"/>
  <c r="T62" i="457" s="1"/>
  <c r="S54" i="457"/>
  <c r="T49" i="457"/>
  <c r="X193" i="455"/>
  <c r="X66" i="455" s="1"/>
  <c r="W66" i="455"/>
  <c r="T49" i="455"/>
  <c r="S54" i="455"/>
  <c r="S162" i="457"/>
  <c r="R164" i="457"/>
  <c r="R94" i="457"/>
  <c r="S94" i="457" s="1"/>
  <c r="T94" i="457" s="1"/>
  <c r="Q75" i="457"/>
  <c r="X193" i="457"/>
  <c r="X66" i="457" s="1"/>
  <c r="W66" i="457"/>
  <c r="R70" i="457"/>
  <c r="S70" i="457" s="1"/>
  <c r="W217" i="457"/>
  <c r="V218" i="457"/>
  <c r="V126" i="457" s="1"/>
  <c r="V128" i="457" s="1"/>
  <c r="V59" i="457"/>
  <c r="V61" i="457" s="1"/>
  <c r="T55" i="455"/>
  <c r="X99" i="455"/>
  <c r="X83" i="457"/>
  <c r="U244" i="455"/>
  <c r="U52" i="455" s="1"/>
  <c r="T245" i="455"/>
  <c r="T120" i="455" s="1"/>
  <c r="T50" i="455"/>
  <c r="X84" i="455"/>
  <c r="X247" i="455"/>
  <c r="X78" i="455" s="1"/>
  <c r="W258" i="455"/>
  <c r="W279" i="455"/>
  <c r="W264" i="455"/>
  <c r="W269" i="455"/>
  <c r="W274" i="455"/>
  <c r="W284" i="455"/>
  <c r="S226" i="457"/>
  <c r="R228" i="457"/>
  <c r="R30" i="457" s="1"/>
  <c r="V77" i="455"/>
  <c r="J212" i="455"/>
  <c r="J39" i="455" s="1"/>
  <c r="J33" i="455"/>
  <c r="J37" i="455" s="1"/>
  <c r="J44" i="455" s="1"/>
  <c r="J34" i="455"/>
  <c r="W160" i="455"/>
  <c r="S55" i="457"/>
  <c r="T55" i="457" s="1"/>
  <c r="M367" i="457"/>
  <c r="M368" i="457" s="1"/>
  <c r="M332" i="457"/>
  <c r="M371" i="457" s="1"/>
  <c r="M372" i="457" s="1"/>
  <c r="M327" i="457"/>
  <c r="M369" i="457" s="1"/>
  <c r="M370" i="457" s="1"/>
  <c r="R70" i="455"/>
  <c r="S70" i="455" s="1"/>
  <c r="T36" i="455"/>
  <c r="S117" i="455"/>
  <c r="T52" i="457"/>
  <c r="W153" i="455"/>
  <c r="X153" i="455" s="1"/>
  <c r="S199" i="455"/>
  <c r="X158" i="457"/>
  <c r="O194" i="457"/>
  <c r="O196" i="457"/>
  <c r="V210" i="457"/>
  <c r="W207" i="457"/>
  <c r="W151" i="455"/>
  <c r="W109" i="455"/>
  <c r="S139" i="457"/>
  <c r="T139" i="457" s="1"/>
  <c r="U93" i="455"/>
  <c r="V93" i="455" s="1"/>
  <c r="T51" i="455"/>
  <c r="X154" i="455"/>
  <c r="X209" i="457"/>
  <c r="S199" i="457"/>
  <c r="V59" i="455"/>
  <c r="V61" i="455" s="1"/>
  <c r="W217" i="455"/>
  <c r="V218" i="455"/>
  <c r="V126" i="455" s="1"/>
  <c r="V128" i="455" s="1"/>
  <c r="W221" i="457"/>
  <c r="T129" i="455"/>
  <c r="U138" i="455"/>
  <c r="V132" i="455"/>
  <c r="W100" i="455"/>
  <c r="X100" i="455" s="1"/>
  <c r="L189" i="455"/>
  <c r="L196" i="455" s="1"/>
  <c r="K184" i="455"/>
  <c r="K182" i="455" s="1"/>
  <c r="K185" i="455" s="1"/>
  <c r="S14" i="457"/>
  <c r="T14" i="457" s="1"/>
  <c r="N330" i="457"/>
  <c r="N331" i="457" s="1"/>
  <c r="N321" i="457"/>
  <c r="N365" i="457" s="1"/>
  <c r="N366" i="457" s="1"/>
  <c r="X223" i="457"/>
  <c r="W221" i="455"/>
  <c r="X153" i="457"/>
  <c r="U276" i="455"/>
  <c r="V103" i="455"/>
  <c r="V104" i="455" s="1"/>
  <c r="U275" i="455"/>
  <c r="I45" i="455"/>
  <c r="I5" i="455"/>
  <c r="V242" i="455"/>
  <c r="U243" i="455"/>
  <c r="V252" i="455"/>
  <c r="V253" i="455"/>
  <c r="V255" i="455"/>
  <c r="V256" i="455" s="1"/>
  <c r="N363" i="457"/>
  <c r="N359" i="457"/>
  <c r="S12" i="455"/>
  <c r="S123" i="457"/>
  <c r="S129" i="457"/>
  <c r="T129" i="457" s="1"/>
  <c r="R94" i="455"/>
  <c r="S94" i="455" s="1"/>
  <c r="T94" i="455" s="1"/>
  <c r="U94" i="455" s="1"/>
  <c r="V94" i="455" s="1"/>
  <c r="Q75" i="455"/>
  <c r="S226" i="455"/>
  <c r="R228" i="455"/>
  <c r="R30" i="455" s="1"/>
  <c r="W209" i="455"/>
  <c r="X209" i="455" s="1"/>
  <c r="U51" i="455" l="1"/>
  <c r="U52" i="457"/>
  <c r="V52" i="457" s="1"/>
  <c r="X160" i="455"/>
  <c r="U50" i="455"/>
  <c r="X85" i="455"/>
  <c r="T163" i="457"/>
  <c r="T12" i="457" s="1"/>
  <c r="U12" i="457" s="1"/>
  <c r="T139" i="455"/>
  <c r="T14" i="455"/>
  <c r="U14" i="455" s="1"/>
  <c r="X246" i="455"/>
  <c r="X223" i="455"/>
  <c r="W93" i="455"/>
  <c r="W94" i="455" s="1"/>
  <c r="V216" i="457"/>
  <c r="V222" i="457" s="1"/>
  <c r="V225" i="457" s="1"/>
  <c r="V36" i="457" s="1"/>
  <c r="U95" i="457"/>
  <c r="V95" i="457" s="1"/>
  <c r="W95" i="457" s="1"/>
  <c r="U94" i="457"/>
  <c r="V94" i="457" s="1"/>
  <c r="W94" i="457" s="1"/>
  <c r="X160" i="457"/>
  <c r="X158" i="455"/>
  <c r="K34" i="455"/>
  <c r="K212" i="455"/>
  <c r="K39" i="455" s="1"/>
  <c r="K33" i="455"/>
  <c r="K37" i="455" s="1"/>
  <c r="K44" i="455" s="1"/>
  <c r="V216" i="455"/>
  <c r="V222" i="455" s="1"/>
  <c r="V225" i="455" s="1"/>
  <c r="X109" i="455"/>
  <c r="X151" i="455"/>
  <c r="O110" i="457"/>
  <c r="O112" i="457" s="1"/>
  <c r="T117" i="455"/>
  <c r="J45" i="455"/>
  <c r="J5" i="455"/>
  <c r="V50" i="455"/>
  <c r="U245" i="455"/>
  <c r="U139" i="455" s="1"/>
  <c r="V244" i="455"/>
  <c r="Q87" i="457"/>
  <c r="Q265" i="457"/>
  <c r="R75" i="457"/>
  <c r="Q266" i="457"/>
  <c r="X82" i="457"/>
  <c r="S8" i="455"/>
  <c r="S56" i="455"/>
  <c r="S17" i="455" s="1"/>
  <c r="T54" i="457"/>
  <c r="U49" i="457"/>
  <c r="T116" i="455"/>
  <c r="S286" i="455"/>
  <c r="S285" i="455"/>
  <c r="N212" i="457"/>
  <c r="N39" i="457" s="1"/>
  <c r="N34" i="457"/>
  <c r="N33" i="457"/>
  <c r="N37" i="457" s="1"/>
  <c r="N44" i="457" s="1"/>
  <c r="W242" i="457"/>
  <c r="V243" i="457"/>
  <c r="T122" i="457"/>
  <c r="T123" i="457" s="1"/>
  <c r="X157" i="455"/>
  <c r="X161" i="455" s="1"/>
  <c r="W161" i="455"/>
  <c r="X83" i="455"/>
  <c r="X88" i="455"/>
  <c r="T231" i="457"/>
  <c r="T62" i="455"/>
  <c r="W252" i="457"/>
  <c r="W253" i="457"/>
  <c r="W255" i="457"/>
  <c r="W256" i="457" s="1"/>
  <c r="T162" i="455"/>
  <c r="S164" i="455"/>
  <c r="W68" i="455"/>
  <c r="X152" i="457"/>
  <c r="W77" i="457"/>
  <c r="T226" i="455"/>
  <c r="S228" i="455"/>
  <c r="S30" i="455" s="1"/>
  <c r="M189" i="455"/>
  <c r="M196" i="455" s="1"/>
  <c r="L184" i="455"/>
  <c r="L182" i="455" s="1"/>
  <c r="L185" i="455" s="1"/>
  <c r="W132" i="455"/>
  <c r="V138" i="455"/>
  <c r="W210" i="457"/>
  <c r="X207" i="457"/>
  <c r="X217" i="457"/>
  <c r="W218" i="457"/>
  <c r="W126" i="457" s="1"/>
  <c r="W128" i="457" s="1"/>
  <c r="W59" i="457"/>
  <c r="W61" i="457" s="1"/>
  <c r="U49" i="455"/>
  <c r="T54" i="455"/>
  <c r="S8" i="457"/>
  <c r="S56" i="457"/>
  <c r="S17" i="457" s="1"/>
  <c r="W210" i="455"/>
  <c r="X207" i="455"/>
  <c r="X210" i="455" s="1"/>
  <c r="X279" i="457"/>
  <c r="X258" i="457"/>
  <c r="X274" i="457"/>
  <c r="X275" i="457" s="1"/>
  <c r="X284" i="457"/>
  <c r="X269" i="457"/>
  <c r="X264" i="457"/>
  <c r="W161" i="457"/>
  <c r="X157" i="457"/>
  <c r="X161" i="457" s="1"/>
  <c r="U245" i="457"/>
  <c r="U129" i="457" s="1"/>
  <c r="V244" i="457"/>
  <c r="V50" i="457" s="1"/>
  <c r="T116" i="457"/>
  <c r="S286" i="457"/>
  <c r="S285" i="457"/>
  <c r="X60" i="457"/>
  <c r="X88" i="457"/>
  <c r="X91" i="457"/>
  <c r="X92" i="457" s="1"/>
  <c r="X93" i="457" s="1"/>
  <c r="X94" i="457" s="1"/>
  <c r="S117" i="457"/>
  <c r="X109" i="457"/>
  <c r="R21" i="457"/>
  <c r="X151" i="457"/>
  <c r="V52" i="455"/>
  <c r="U51" i="457"/>
  <c r="V51" i="457" s="1"/>
  <c r="T163" i="455"/>
  <c r="Q265" i="455"/>
  <c r="Q266" i="455"/>
  <c r="R75" i="455"/>
  <c r="Q87" i="455"/>
  <c r="X68" i="457"/>
  <c r="W242" i="455"/>
  <c r="V243" i="455"/>
  <c r="N332" i="457"/>
  <c r="N371" i="457" s="1"/>
  <c r="N367" i="457"/>
  <c r="N368" i="457" s="1"/>
  <c r="N327" i="457"/>
  <c r="N369" i="457" s="1"/>
  <c r="N370" i="457" s="1"/>
  <c r="W59" i="455"/>
  <c r="W61" i="455" s="1"/>
  <c r="W216" i="455"/>
  <c r="W222" i="455" s="1"/>
  <c r="W225" i="455" s="1"/>
  <c r="W218" i="455"/>
  <c r="W126" i="455" s="1"/>
  <c r="W128" i="455" s="1"/>
  <c r="X217" i="455"/>
  <c r="X78" i="457"/>
  <c r="U139" i="457"/>
  <c r="X227" i="457"/>
  <c r="T226" i="457"/>
  <c r="S228" i="457"/>
  <c r="S30" i="457" s="1"/>
  <c r="X279" i="455"/>
  <c r="X274" i="455"/>
  <c r="X258" i="455"/>
  <c r="X264" i="455"/>
  <c r="X284" i="455"/>
  <c r="X269" i="455"/>
  <c r="T122" i="455"/>
  <c r="T123" i="455" s="1"/>
  <c r="X60" i="455"/>
  <c r="X79" i="457"/>
  <c r="X211" i="457"/>
  <c r="U95" i="455"/>
  <c r="V95" i="455" s="1"/>
  <c r="W95" i="455" s="1"/>
  <c r="T162" i="457"/>
  <c r="S164" i="457"/>
  <c r="U62" i="457"/>
  <c r="X91" i="455"/>
  <c r="X246" i="457"/>
  <c r="U36" i="457"/>
  <c r="X227" i="455"/>
  <c r="U53" i="457"/>
  <c r="V53" i="457" s="1"/>
  <c r="X154" i="457"/>
  <c r="R21" i="455"/>
  <c r="W255" i="455"/>
  <c r="W256" i="455" s="1"/>
  <c r="W252" i="455"/>
  <c r="W253" i="455"/>
  <c r="X85" i="457"/>
  <c r="X208" i="457"/>
  <c r="U53" i="455"/>
  <c r="V53" i="455" s="1"/>
  <c r="X84" i="457"/>
  <c r="X79" i="455"/>
  <c r="T12" i="455"/>
  <c r="V276" i="455"/>
  <c r="W103" i="455"/>
  <c r="W104" i="455" s="1"/>
  <c r="V275" i="455"/>
  <c r="X221" i="455"/>
  <c r="U14" i="457"/>
  <c r="X221" i="457"/>
  <c r="V51" i="455"/>
  <c r="O184" i="457"/>
  <c r="O185" i="457" s="1"/>
  <c r="P189" i="457"/>
  <c r="W77" i="455"/>
  <c r="X92" i="455"/>
  <c r="X93" i="455" s="1"/>
  <c r="P182" i="457"/>
  <c r="T231" i="455"/>
  <c r="X152" i="455"/>
  <c r="X251" i="457"/>
  <c r="Y5" i="436"/>
  <c r="X251" i="455"/>
  <c r="X6" i="436"/>
  <c r="U163" i="457"/>
  <c r="X95" i="457" l="1"/>
  <c r="X94" i="455"/>
  <c r="U120" i="455"/>
  <c r="U163" i="455"/>
  <c r="V163" i="455" s="1"/>
  <c r="U55" i="455"/>
  <c r="U129" i="455"/>
  <c r="X68" i="455"/>
  <c r="T70" i="455"/>
  <c r="U62" i="455"/>
  <c r="W36" i="455"/>
  <c r="O34" i="457"/>
  <c r="O186" i="457"/>
  <c r="Y6" i="436"/>
  <c r="Z5" i="436"/>
  <c r="U162" i="457"/>
  <c r="T164" i="457"/>
  <c r="X242" i="455"/>
  <c r="X243" i="455" s="1"/>
  <c r="W243" i="455"/>
  <c r="T117" i="457"/>
  <c r="V49" i="455"/>
  <c r="U54" i="455"/>
  <c r="N5" i="457"/>
  <c r="N45" i="457"/>
  <c r="N372" i="457"/>
  <c r="U116" i="455"/>
  <c r="T286" i="455"/>
  <c r="T285" i="455"/>
  <c r="W244" i="455"/>
  <c r="W52" i="455" s="1"/>
  <c r="V245" i="455"/>
  <c r="V139" i="455" s="1"/>
  <c r="P194" i="457"/>
  <c r="P196" i="457" s="1"/>
  <c r="X252" i="457"/>
  <c r="X253" i="457"/>
  <c r="X255" i="457"/>
  <c r="X256" i="457" s="1"/>
  <c r="Q182" i="457"/>
  <c r="X103" i="455"/>
  <c r="W276" i="455"/>
  <c r="W275" i="455"/>
  <c r="X95" i="455"/>
  <c r="S21" i="457"/>
  <c r="X132" i="455"/>
  <c r="X138" i="455" s="1"/>
  <c r="W138" i="455"/>
  <c r="U231" i="457"/>
  <c r="W243" i="457"/>
  <c r="X242" i="457"/>
  <c r="X243" i="457" s="1"/>
  <c r="U54" i="457"/>
  <c r="V49" i="457"/>
  <c r="Q271" i="457"/>
  <c r="Q89" i="457"/>
  <c r="Q270" i="457"/>
  <c r="R268" i="457"/>
  <c r="U117" i="455"/>
  <c r="O281" i="457"/>
  <c r="O280" i="457"/>
  <c r="O113" i="457"/>
  <c r="O20" i="457"/>
  <c r="K5" i="455"/>
  <c r="K45" i="455"/>
  <c r="X77" i="455"/>
  <c r="W51" i="455"/>
  <c r="V120" i="455"/>
  <c r="U122" i="455"/>
  <c r="U123" i="455" s="1"/>
  <c r="Q271" i="455"/>
  <c r="Q89" i="455"/>
  <c r="Q270" i="455"/>
  <c r="R268" i="455"/>
  <c r="T286" i="457"/>
  <c r="U116" i="457"/>
  <c r="T285" i="457"/>
  <c r="W216" i="457"/>
  <c r="W222" i="457" s="1"/>
  <c r="W225" i="457" s="1"/>
  <c r="X210" i="457"/>
  <c r="T199" i="457"/>
  <c r="L212" i="455"/>
  <c r="L39" i="455" s="1"/>
  <c r="L33" i="455"/>
  <c r="L37" i="455" s="1"/>
  <c r="L44" i="455" s="1"/>
  <c r="L34" i="455"/>
  <c r="X77" i="457"/>
  <c r="T56" i="457"/>
  <c r="T17" i="457" s="1"/>
  <c r="T8" i="457"/>
  <c r="T70" i="457"/>
  <c r="U70" i="457" s="1"/>
  <c r="X255" i="455"/>
  <c r="X256" i="455" s="1"/>
  <c r="X253" i="455"/>
  <c r="X252" i="455"/>
  <c r="U231" i="455"/>
  <c r="U226" i="457"/>
  <c r="T228" i="457"/>
  <c r="T30" i="457" s="1"/>
  <c r="X218" i="455"/>
  <c r="X126" i="455" s="1"/>
  <c r="X128" i="455" s="1"/>
  <c r="X59" i="455"/>
  <c r="X61" i="455" s="1"/>
  <c r="V14" i="455"/>
  <c r="R87" i="455"/>
  <c r="R265" i="455"/>
  <c r="S75" i="455"/>
  <c r="R266" i="455"/>
  <c r="V245" i="457"/>
  <c r="V163" i="457" s="1"/>
  <c r="W244" i="457"/>
  <c r="W51" i="457" s="1"/>
  <c r="T8" i="455"/>
  <c r="T56" i="455"/>
  <c r="T17" i="455" s="1"/>
  <c r="X218" i="457"/>
  <c r="X126" i="457" s="1"/>
  <c r="X128" i="457" s="1"/>
  <c r="X59" i="457"/>
  <c r="X61" i="457" s="1"/>
  <c r="X216" i="457"/>
  <c r="X222" i="457" s="1"/>
  <c r="X225" i="457" s="1"/>
  <c r="V129" i="455"/>
  <c r="M184" i="455"/>
  <c r="M182" i="455" s="1"/>
  <c r="M185" i="455" s="1"/>
  <c r="N189" i="455"/>
  <c r="N196" i="455" s="1"/>
  <c r="U226" i="455"/>
  <c r="T228" i="455"/>
  <c r="T30" i="455" s="1"/>
  <c r="U162" i="455"/>
  <c r="T164" i="455"/>
  <c r="V62" i="455"/>
  <c r="U120" i="457"/>
  <c r="S21" i="455"/>
  <c r="R265" i="457"/>
  <c r="S75" i="457"/>
  <c r="R266" i="457"/>
  <c r="R87" i="457"/>
  <c r="W50" i="455"/>
  <c r="U55" i="457"/>
  <c r="T199" i="455"/>
  <c r="V36" i="455"/>
  <c r="W52" i="457" l="1"/>
  <c r="V55" i="455"/>
  <c r="U12" i="455"/>
  <c r="V12" i="455" s="1"/>
  <c r="V12" i="457"/>
  <c r="Q189" i="457"/>
  <c r="P184" i="457"/>
  <c r="P185" i="457" s="1"/>
  <c r="P34" i="457" s="1"/>
  <c r="X36" i="457"/>
  <c r="R271" i="457"/>
  <c r="R89" i="457"/>
  <c r="R270" i="457"/>
  <c r="S268" i="457"/>
  <c r="O189" i="455"/>
  <c r="N184" i="455"/>
  <c r="N182" i="455" s="1"/>
  <c r="L45" i="455"/>
  <c r="L5" i="455"/>
  <c r="O11" i="457"/>
  <c r="R182" i="457"/>
  <c r="U117" i="457"/>
  <c r="P186" i="457"/>
  <c r="U199" i="455"/>
  <c r="V162" i="455"/>
  <c r="U164" i="455"/>
  <c r="M212" i="455"/>
  <c r="M39" i="455" s="1"/>
  <c r="M34" i="455"/>
  <c r="M33" i="455"/>
  <c r="M37" i="455" s="1"/>
  <c r="M44" i="455" s="1"/>
  <c r="T75" i="455"/>
  <c r="S87" i="455"/>
  <c r="S265" i="455"/>
  <c r="S266" i="455"/>
  <c r="X216" i="455"/>
  <c r="X222" i="455" s="1"/>
  <c r="X225" i="455" s="1"/>
  <c r="V226" i="457"/>
  <c r="U228" i="457"/>
  <c r="U30" i="457" s="1"/>
  <c r="U199" i="457"/>
  <c r="V122" i="455"/>
  <c r="V123" i="455" s="1"/>
  <c r="W49" i="457"/>
  <c r="V54" i="457"/>
  <c r="V62" i="457"/>
  <c r="X276" i="455"/>
  <c r="X275" i="455"/>
  <c r="V162" i="457"/>
  <c r="V70" i="457" s="1"/>
  <c r="U164" i="457"/>
  <c r="AA5" i="436"/>
  <c r="Z6" i="436"/>
  <c r="U70" i="455"/>
  <c r="V70" i="455" s="1"/>
  <c r="O142" i="457"/>
  <c r="O67" i="457" s="1"/>
  <c r="O69" i="457" s="1"/>
  <c r="O144" i="457"/>
  <c r="V55" i="457"/>
  <c r="T75" i="457"/>
  <c r="S266" i="457"/>
  <c r="S87" i="457"/>
  <c r="S265" i="457"/>
  <c r="U122" i="457"/>
  <c r="U123" i="457" s="1"/>
  <c r="V120" i="457"/>
  <c r="T21" i="455"/>
  <c r="W245" i="457"/>
  <c r="W163" i="457" s="1"/>
  <c r="X244" i="457"/>
  <c r="T21" i="457"/>
  <c r="W53" i="457"/>
  <c r="X53" i="457" s="1"/>
  <c r="U56" i="457"/>
  <c r="U17" i="457" s="1"/>
  <c r="U8" i="457"/>
  <c r="V231" i="457"/>
  <c r="V139" i="457"/>
  <c r="W139" i="457" s="1"/>
  <c r="V14" i="457"/>
  <c r="W245" i="455"/>
  <c r="W120" i="455" s="1"/>
  <c r="X244" i="455"/>
  <c r="X51" i="455" s="1"/>
  <c r="V116" i="455"/>
  <c r="V117" i="455" s="1"/>
  <c r="U286" i="455"/>
  <c r="U285" i="455"/>
  <c r="U8" i="455"/>
  <c r="U56" i="455"/>
  <c r="U17" i="455" s="1"/>
  <c r="W53" i="455"/>
  <c r="X53" i="455" s="1"/>
  <c r="V129" i="457"/>
  <c r="W129" i="457" s="1"/>
  <c r="X50" i="455"/>
  <c r="V226" i="455"/>
  <c r="U228" i="455"/>
  <c r="U30" i="455" s="1"/>
  <c r="X51" i="457"/>
  <c r="R89" i="455"/>
  <c r="R271" i="455"/>
  <c r="R270" i="455"/>
  <c r="S268" i="455"/>
  <c r="V231" i="455"/>
  <c r="W36" i="457"/>
  <c r="U286" i="457"/>
  <c r="V116" i="457"/>
  <c r="O19" i="457"/>
  <c r="W50" i="457"/>
  <c r="X50" i="457" s="1"/>
  <c r="P110" i="457"/>
  <c r="P112" i="457" s="1"/>
  <c r="P113" i="457" s="1"/>
  <c r="V54" i="455"/>
  <c r="W49" i="455"/>
  <c r="X104" i="455"/>
  <c r="U285" i="457" l="1"/>
  <c r="V117" i="457"/>
  <c r="W117" i="457" s="1"/>
  <c r="W55" i="457"/>
  <c r="P11" i="457"/>
  <c r="W122" i="455"/>
  <c r="W226" i="455"/>
  <c r="V228" i="455"/>
  <c r="V30" i="455" s="1"/>
  <c r="O18" i="457"/>
  <c r="W55" i="455"/>
  <c r="W123" i="455"/>
  <c r="W54" i="455"/>
  <c r="X49" i="455"/>
  <c r="W62" i="455"/>
  <c r="U21" i="455"/>
  <c r="W116" i="455"/>
  <c r="V286" i="455"/>
  <c r="V285" i="455"/>
  <c r="W14" i="457"/>
  <c r="W163" i="455"/>
  <c r="X245" i="457"/>
  <c r="X163" i="457" s="1"/>
  <c r="W129" i="455"/>
  <c r="S270" i="457"/>
  <c r="S271" i="457"/>
  <c r="S89" i="457"/>
  <c r="T268" i="457"/>
  <c r="X49" i="457"/>
  <c r="W54" i="457"/>
  <c r="V199" i="457"/>
  <c r="W226" i="457"/>
  <c r="V228" i="457"/>
  <c r="V30" i="457" s="1"/>
  <c r="S271" i="455"/>
  <c r="S270" i="455"/>
  <c r="S89" i="455"/>
  <c r="T268" i="455"/>
  <c r="M45" i="455"/>
  <c r="M5" i="455"/>
  <c r="V199" i="455"/>
  <c r="W139" i="455"/>
  <c r="P281" i="457"/>
  <c r="P280" i="457"/>
  <c r="P20" i="457"/>
  <c r="W231" i="457"/>
  <c r="AB5" i="436"/>
  <c r="AA6" i="436"/>
  <c r="V8" i="457"/>
  <c r="V56" i="457"/>
  <c r="V17" i="457" s="1"/>
  <c r="O194" i="455"/>
  <c r="O196" i="455"/>
  <c r="Q196" i="457"/>
  <c r="V8" i="455"/>
  <c r="V56" i="455"/>
  <c r="V17" i="455" s="1"/>
  <c r="W116" i="457"/>
  <c r="X245" i="455"/>
  <c r="X120" i="455" s="1"/>
  <c r="X122" i="455" s="1"/>
  <c r="U21" i="457"/>
  <c r="V122" i="457"/>
  <c r="V285" i="457" s="1"/>
  <c r="W120" i="457"/>
  <c r="W162" i="457"/>
  <c r="V164" i="457"/>
  <c r="X36" i="455"/>
  <c r="T87" i="455"/>
  <c r="T265" i="455"/>
  <c r="T266" i="455"/>
  <c r="U75" i="455"/>
  <c r="S182" i="457"/>
  <c r="W14" i="455"/>
  <c r="W12" i="457"/>
  <c r="Q194" i="457"/>
  <c r="W117" i="455"/>
  <c r="W231" i="455"/>
  <c r="T266" i="457"/>
  <c r="T87" i="457"/>
  <c r="T265" i="457"/>
  <c r="U75" i="457"/>
  <c r="O71" i="457"/>
  <c r="O72" i="457" s="1"/>
  <c r="O9" i="457" s="1"/>
  <c r="X52" i="455"/>
  <c r="W62" i="457"/>
  <c r="X52" i="457"/>
  <c r="W162" i="455"/>
  <c r="V164" i="455"/>
  <c r="O10" i="457"/>
  <c r="N185" i="455"/>
  <c r="O182" i="455"/>
  <c r="O13" i="457" l="1"/>
  <c r="O15" i="457" s="1"/>
  <c r="P182" i="455"/>
  <c r="X162" i="455"/>
  <c r="W164" i="455"/>
  <c r="X12" i="457"/>
  <c r="V286" i="457"/>
  <c r="R189" i="457"/>
  <c r="Q184" i="457"/>
  <c r="Q185" i="457" s="1"/>
  <c r="AC5" i="436"/>
  <c r="AB6" i="436"/>
  <c r="X139" i="455"/>
  <c r="N34" i="455"/>
  <c r="N212" i="455"/>
  <c r="N39" i="455" s="1"/>
  <c r="N33" i="455"/>
  <c r="N37" i="455" s="1"/>
  <c r="N44" i="455" s="1"/>
  <c r="U265" i="457"/>
  <c r="V75" i="457"/>
  <c r="U266" i="457"/>
  <c r="U87" i="457"/>
  <c r="V123" i="457"/>
  <c r="X14" i="455"/>
  <c r="T271" i="455"/>
  <c r="T270" i="455"/>
  <c r="T89" i="455"/>
  <c r="U268" i="455"/>
  <c r="X162" i="457"/>
  <c r="X164" i="457" s="1"/>
  <c r="W164" i="457"/>
  <c r="X116" i="457"/>
  <c r="X117" i="457" s="1"/>
  <c r="P189" i="455"/>
  <c r="O184" i="455"/>
  <c r="O185" i="455" s="1"/>
  <c r="V21" i="457"/>
  <c r="X55" i="457"/>
  <c r="W199" i="457"/>
  <c r="X163" i="455"/>
  <c r="W12" i="455"/>
  <c r="X62" i="455"/>
  <c r="X55" i="455"/>
  <c r="X226" i="455"/>
  <c r="X228" i="455" s="1"/>
  <c r="X30" i="455" s="1"/>
  <c r="W228" i="455"/>
  <c r="W30" i="455" s="1"/>
  <c r="X62" i="457"/>
  <c r="X129" i="457"/>
  <c r="R194" i="457"/>
  <c r="Q110" i="457"/>
  <c r="Q112" i="457" s="1"/>
  <c r="T182" i="457"/>
  <c r="U266" i="455"/>
  <c r="U87" i="455"/>
  <c r="V75" i="455"/>
  <c r="U265" i="455"/>
  <c r="W70" i="455"/>
  <c r="V21" i="455"/>
  <c r="O110" i="455"/>
  <c r="O112" i="455" s="1"/>
  <c r="W199" i="455"/>
  <c r="W8" i="457"/>
  <c r="W56" i="457"/>
  <c r="W17" i="457" s="1"/>
  <c r="X129" i="455"/>
  <c r="X116" i="455"/>
  <c r="W286" i="455"/>
  <c r="W285" i="455"/>
  <c r="X54" i="455"/>
  <c r="O25" i="457"/>
  <c r="O22" i="457"/>
  <c r="O24" i="457" s="1"/>
  <c r="O237" i="457" s="1"/>
  <c r="T271" i="457"/>
  <c r="T89" i="457"/>
  <c r="T270" i="457"/>
  <c r="U268" i="457"/>
  <c r="X231" i="455"/>
  <c r="X120" i="457"/>
  <c r="X122" i="457" s="1"/>
  <c r="W122" i="457"/>
  <c r="W286" i="457" s="1"/>
  <c r="X139" i="457"/>
  <c r="W70" i="457"/>
  <c r="X70" i="457" s="1"/>
  <c r="X231" i="457"/>
  <c r="X226" i="457"/>
  <c r="X228" i="457" s="1"/>
  <c r="X30" i="457" s="1"/>
  <c r="W228" i="457"/>
  <c r="W30" i="457" s="1"/>
  <c r="X54" i="457"/>
  <c r="X14" i="457"/>
  <c r="W56" i="455"/>
  <c r="W17" i="455" s="1"/>
  <c r="W8" i="455"/>
  <c r="X123" i="455"/>
  <c r="X70" i="455" l="1"/>
  <c r="X12" i="455"/>
  <c r="O34" i="455"/>
  <c r="O186" i="455"/>
  <c r="X56" i="457"/>
  <c r="X17" i="457" s="1"/>
  <c r="X8" i="457"/>
  <c r="X286" i="455"/>
  <c r="X285" i="455"/>
  <c r="U271" i="455"/>
  <c r="U270" i="455"/>
  <c r="U89" i="455"/>
  <c r="V268" i="455"/>
  <c r="Q281" i="457"/>
  <c r="Q280" i="457"/>
  <c r="Q20" i="457"/>
  <c r="Q113" i="457"/>
  <c r="X117" i="455"/>
  <c r="V87" i="457"/>
  <c r="V265" i="457"/>
  <c r="W75" i="457"/>
  <c r="V266" i="457"/>
  <c r="R196" i="457"/>
  <c r="X8" i="455"/>
  <c r="X56" i="455"/>
  <c r="X17" i="455" s="1"/>
  <c r="P194" i="455"/>
  <c r="R110" i="457"/>
  <c r="R112" i="457" s="1"/>
  <c r="W285" i="457"/>
  <c r="W123" i="457"/>
  <c r="X123" i="457" s="1"/>
  <c r="AC6" i="436"/>
  <c r="AD5" i="436"/>
  <c r="X164" i="455"/>
  <c r="W21" i="455"/>
  <c r="O281" i="455"/>
  <c r="O280" i="455"/>
  <c r="O113" i="455"/>
  <c r="O20" i="455"/>
  <c r="U182" i="457"/>
  <c r="X199" i="457"/>
  <c r="U89" i="457"/>
  <c r="U270" i="457"/>
  <c r="U271" i="457"/>
  <c r="V268" i="457"/>
  <c r="O234" i="457"/>
  <c r="W21" i="457"/>
  <c r="X199" i="455"/>
  <c r="W75" i="455"/>
  <c r="V265" i="455"/>
  <c r="V266" i="455"/>
  <c r="V87" i="455"/>
  <c r="X286" i="457"/>
  <c r="X285" i="457"/>
  <c r="N45" i="455"/>
  <c r="N5" i="455"/>
  <c r="Q34" i="457"/>
  <c r="Q186" i="457"/>
  <c r="Q182" i="455"/>
  <c r="O165" i="457" l="1"/>
  <c r="O232" i="457"/>
  <c r="O236" i="457"/>
  <c r="P142" i="457"/>
  <c r="O233" i="457"/>
  <c r="O35" i="457"/>
  <c r="P144" i="457"/>
  <c r="V182" i="457"/>
  <c r="AE5" i="436"/>
  <c r="AD6" i="436"/>
  <c r="X21" i="455"/>
  <c r="S189" i="457"/>
  <c r="R184" i="457"/>
  <c r="R185" i="457" s="1"/>
  <c r="R34" i="457" s="1"/>
  <c r="V89" i="457"/>
  <c r="V270" i="457"/>
  <c r="V271" i="457"/>
  <c r="W268" i="457"/>
  <c r="R113" i="457"/>
  <c r="Q11" i="457"/>
  <c r="X21" i="457"/>
  <c r="W266" i="455"/>
  <c r="X75" i="455"/>
  <c r="W87" i="455"/>
  <c r="W265" i="455"/>
  <c r="O11" i="455"/>
  <c r="R281" i="457"/>
  <c r="R280" i="457"/>
  <c r="R20" i="457"/>
  <c r="X75" i="457"/>
  <c r="W266" i="457"/>
  <c r="W87" i="457"/>
  <c r="W265" i="457"/>
  <c r="R182" i="455"/>
  <c r="V270" i="455"/>
  <c r="V89" i="455"/>
  <c r="V271" i="455"/>
  <c r="W268" i="455"/>
  <c r="P110" i="455"/>
  <c r="P112" i="455" s="1"/>
  <c r="P196" i="455"/>
  <c r="O142" i="455"/>
  <c r="O67" i="455" s="1"/>
  <c r="O69" i="455" s="1"/>
  <c r="O144" i="455"/>
  <c r="O71" i="455" s="1"/>
  <c r="O19" i="455" l="1"/>
  <c r="S182" i="455"/>
  <c r="W89" i="457"/>
  <c r="W270" i="457"/>
  <c r="W271" i="457"/>
  <c r="X268" i="457"/>
  <c r="S196" i="457"/>
  <c r="S194" i="457"/>
  <c r="AF5" i="436"/>
  <c r="AE6" i="436"/>
  <c r="P10" i="457"/>
  <c r="O38" i="457"/>
  <c r="O39" i="457"/>
  <c r="O5" i="457" s="1"/>
  <c r="O72" i="455"/>
  <c r="O9" i="455" s="1"/>
  <c r="O18" i="455"/>
  <c r="R11" i="457"/>
  <c r="O29" i="457"/>
  <c r="P184" i="455"/>
  <c r="P185" i="455" s="1"/>
  <c r="Q189" i="455"/>
  <c r="X266" i="457"/>
  <c r="X87" i="457"/>
  <c r="X265" i="457"/>
  <c r="O10" i="455"/>
  <c r="W271" i="455"/>
  <c r="W270" i="455"/>
  <c r="W89" i="455"/>
  <c r="X268" i="455"/>
  <c r="W182" i="457"/>
  <c r="O166" i="457"/>
  <c r="O33" i="457"/>
  <c r="O37" i="457" s="1"/>
  <c r="O44" i="457" s="1"/>
  <c r="P281" i="455"/>
  <c r="P280" i="455"/>
  <c r="P20" i="455"/>
  <c r="P113" i="455"/>
  <c r="X87" i="455"/>
  <c r="X266" i="455"/>
  <c r="X265" i="455"/>
  <c r="P67" i="457"/>
  <c r="P69" i="457" s="1"/>
  <c r="P19" i="457"/>
  <c r="R186" i="457"/>
  <c r="P18" i="457" l="1"/>
  <c r="P11" i="455"/>
  <c r="X182" i="457"/>
  <c r="Q196" i="455"/>
  <c r="Q194" i="455"/>
  <c r="X271" i="457"/>
  <c r="X89" i="457"/>
  <c r="X270" i="457"/>
  <c r="P34" i="455"/>
  <c r="P186" i="455"/>
  <c r="AG5" i="436"/>
  <c r="AF6" i="436"/>
  <c r="O200" i="457"/>
  <c r="O201" i="457" s="1"/>
  <c r="O28" i="457" s="1"/>
  <c r="O31" i="457" s="1"/>
  <c r="O43" i="457" s="1"/>
  <c r="O22" i="455"/>
  <c r="O24" i="455" s="1"/>
  <c r="O237" i="455" s="1"/>
  <c r="O25" i="455"/>
  <c r="T194" i="457"/>
  <c r="S110" i="457"/>
  <c r="S112" i="457" s="1"/>
  <c r="T182" i="455"/>
  <c r="X89" i="455"/>
  <c r="X270" i="455"/>
  <c r="X271" i="455"/>
  <c r="O13" i="455"/>
  <c r="O15" i="455" s="1"/>
  <c r="P71" i="457"/>
  <c r="P72" i="457" s="1"/>
  <c r="P9" i="457" s="1"/>
  <c r="P13" i="457" s="1"/>
  <c r="P15" i="457" s="1"/>
  <c r="T189" i="457"/>
  <c r="S184" i="457"/>
  <c r="S185" i="457" s="1"/>
  <c r="S34" i="457" s="1"/>
  <c r="T196" i="457" l="1"/>
  <c r="AG6" i="436"/>
  <c r="AH5" i="436"/>
  <c r="Q110" i="455"/>
  <c r="Q112" i="455" s="1"/>
  <c r="U182" i="455"/>
  <c r="O234" i="455"/>
  <c r="S186" i="457"/>
  <c r="R189" i="455"/>
  <c r="R194" i="455" s="1"/>
  <c r="Q184" i="455"/>
  <c r="Q185" i="455" s="1"/>
  <c r="Q34" i="455" s="1"/>
  <c r="S281" i="457"/>
  <c r="S280" i="457"/>
  <c r="S20" i="457"/>
  <c r="S113" i="457"/>
  <c r="P22" i="457"/>
  <c r="P24" i="457" s="1"/>
  <c r="P237" i="457" s="1"/>
  <c r="P25" i="457"/>
  <c r="T110" i="457"/>
  <c r="T112" i="457" s="1"/>
  <c r="R110" i="455" l="1"/>
  <c r="R112" i="455" s="1"/>
  <c r="T113" i="457"/>
  <c r="S11" i="457"/>
  <c r="Q186" i="455"/>
  <c r="V182" i="455"/>
  <c r="T281" i="457"/>
  <c r="T280" i="457"/>
  <c r="T20" i="457"/>
  <c r="AH6" i="436"/>
  <c r="AI5" i="436"/>
  <c r="R196" i="455"/>
  <c r="P234" i="457"/>
  <c r="O236" i="455"/>
  <c r="O35" i="455"/>
  <c r="O232" i="455"/>
  <c r="O233" i="455" s="1"/>
  <c r="P142" i="455"/>
  <c r="O165" i="455"/>
  <c r="Q281" i="455"/>
  <c r="Q280" i="455"/>
  <c r="Q20" i="455"/>
  <c r="Q113" i="455"/>
  <c r="T184" i="457"/>
  <c r="T185" i="457" s="1"/>
  <c r="T34" i="457" s="1"/>
  <c r="U189" i="457"/>
  <c r="R113" i="455" l="1"/>
  <c r="Q11" i="455"/>
  <c r="P144" i="455"/>
  <c r="Q142" i="457"/>
  <c r="P165" i="457"/>
  <c r="P35" i="457"/>
  <c r="P233" i="457"/>
  <c r="P236" i="457"/>
  <c r="P232" i="457"/>
  <c r="Q144" i="457" s="1"/>
  <c r="T186" i="457"/>
  <c r="O166" i="455"/>
  <c r="O33" i="455"/>
  <c r="O37" i="455" s="1"/>
  <c r="O44" i="455" s="1"/>
  <c r="S189" i="455"/>
  <c r="R184" i="455"/>
  <c r="R185" i="455" s="1"/>
  <c r="R34" i="455" s="1"/>
  <c r="W182" i="455"/>
  <c r="T11" i="457"/>
  <c r="U194" i="457"/>
  <c r="P67" i="455"/>
  <c r="P69" i="455" s="1"/>
  <c r="P19" i="455"/>
  <c r="O38" i="455"/>
  <c r="O39" i="455"/>
  <c r="O5" i="455" s="1"/>
  <c r="AJ5" i="436"/>
  <c r="AI6" i="436"/>
  <c r="O29" i="455"/>
  <c r="R281" i="455"/>
  <c r="R280" i="455"/>
  <c r="R20" i="455"/>
  <c r="R186" i="455" l="1"/>
  <c r="O200" i="455"/>
  <c r="O201" i="455" s="1"/>
  <c r="AJ6" i="436"/>
  <c r="AK5" i="436"/>
  <c r="P18" i="455"/>
  <c r="S194" i="455"/>
  <c r="P38" i="457"/>
  <c r="P39" i="457"/>
  <c r="P5" i="457" s="1"/>
  <c r="Q67" i="457"/>
  <c r="Q69" i="457" s="1"/>
  <c r="Q19" i="457"/>
  <c r="U110" i="457"/>
  <c r="U112" i="457" s="1"/>
  <c r="P71" i="455"/>
  <c r="P72" i="455" s="1"/>
  <c r="P9" i="455" s="1"/>
  <c r="P10" i="455"/>
  <c r="U196" i="457"/>
  <c r="X182" i="455"/>
  <c r="O28" i="455"/>
  <c r="O31" i="455" s="1"/>
  <c r="O43" i="455" s="1"/>
  <c r="P29" i="457"/>
  <c r="Q10" i="457"/>
  <c r="P166" i="457"/>
  <c r="P33" i="457"/>
  <c r="P37" i="457" s="1"/>
  <c r="P44" i="457" s="1"/>
  <c r="R11" i="455"/>
  <c r="Q71" i="457" l="1"/>
  <c r="P13" i="455"/>
  <c r="P15" i="455" s="1"/>
  <c r="S110" i="455"/>
  <c r="S112" i="455" s="1"/>
  <c r="AK6" i="436"/>
  <c r="AL5" i="436"/>
  <c r="P200" i="457"/>
  <c r="P201" i="457" s="1"/>
  <c r="P28" i="457" s="1"/>
  <c r="P31" i="457" s="1"/>
  <c r="P43" i="457" s="1"/>
  <c r="Q72" i="457"/>
  <c r="Q9" i="457" s="1"/>
  <c r="Q13" i="457" s="1"/>
  <c r="Q15" i="457" s="1"/>
  <c r="Q18" i="457"/>
  <c r="S196" i="455"/>
  <c r="V189" i="457"/>
  <c r="U184" i="457"/>
  <c r="U185" i="457" s="1"/>
  <c r="U281" i="457"/>
  <c r="U280" i="457"/>
  <c r="U20" i="457"/>
  <c r="U113" i="457"/>
  <c r="P22" i="455"/>
  <c r="P24" i="455" s="1"/>
  <c r="P237" i="455" s="1"/>
  <c r="P25" i="455"/>
  <c r="V194" i="457" l="1"/>
  <c r="V196" i="457" s="1"/>
  <c r="S281" i="455"/>
  <c r="S280" i="455"/>
  <c r="S20" i="455"/>
  <c r="S113" i="455"/>
  <c r="T189" i="455"/>
  <c r="S184" i="455"/>
  <c r="S185" i="455" s="1"/>
  <c r="P234" i="455"/>
  <c r="Q25" i="457"/>
  <c r="Q22" i="457"/>
  <c r="Q24" i="457" s="1"/>
  <c r="Q237" i="457" s="1"/>
  <c r="AM5" i="436"/>
  <c r="AL6" i="436"/>
  <c r="U11" i="457"/>
  <c r="U34" i="457"/>
  <c r="U186" i="457"/>
  <c r="W189" i="457" l="1"/>
  <c r="V184" i="457"/>
  <c r="V185" i="457" s="1"/>
  <c r="V34" i="457" s="1"/>
  <c r="AM6" i="436"/>
  <c r="AN5" i="436"/>
  <c r="Q142" i="455"/>
  <c r="P165" i="455"/>
  <c r="P35" i="455"/>
  <c r="P236" i="455"/>
  <c r="P232" i="455"/>
  <c r="P233" i="455" s="1"/>
  <c r="Q234" i="457"/>
  <c r="S34" i="455"/>
  <c r="S186" i="455"/>
  <c r="T194" i="455"/>
  <c r="V186" i="457"/>
  <c r="S11" i="455"/>
  <c r="W194" i="457"/>
  <c r="V110" i="457"/>
  <c r="V112" i="457" s="1"/>
  <c r="V281" i="457" l="1"/>
  <c r="V280" i="457"/>
  <c r="V20" i="457"/>
  <c r="V113" i="457"/>
  <c r="P38" i="455"/>
  <c r="P39" i="455"/>
  <c r="P5" i="455" s="1"/>
  <c r="AO5" i="436"/>
  <c r="AN6" i="436"/>
  <c r="W110" i="457"/>
  <c r="W112" i="457" s="1"/>
  <c r="T110" i="455"/>
  <c r="T112" i="455" s="1"/>
  <c r="P29" i="455"/>
  <c r="T196" i="455"/>
  <c r="Q165" i="457"/>
  <c r="Q35" i="457"/>
  <c r="Q236" i="457"/>
  <c r="Q233" i="457"/>
  <c r="R142" i="457"/>
  <c r="R144" i="457"/>
  <c r="Q232" i="457"/>
  <c r="Q144" i="455"/>
  <c r="P166" i="455"/>
  <c r="P33" i="455"/>
  <c r="P37" i="455" s="1"/>
  <c r="P44" i="455" s="1"/>
  <c r="Q67" i="455"/>
  <c r="Q69" i="455" s="1"/>
  <c r="Q19" i="455"/>
  <c r="W196" i="457"/>
  <c r="Q29" i="457" l="1"/>
  <c r="Q38" i="457"/>
  <c r="Q39" i="457"/>
  <c r="Q5" i="457" s="1"/>
  <c r="AO6" i="436"/>
  <c r="AP5" i="436"/>
  <c r="W113" i="457"/>
  <c r="V11" i="457"/>
  <c r="X189" i="457"/>
  <c r="W184" i="457"/>
  <c r="W185" i="457" s="1"/>
  <c r="R10" i="457"/>
  <c r="P28" i="455"/>
  <c r="P31" i="455" s="1"/>
  <c r="P43" i="455" s="1"/>
  <c r="R67" i="457"/>
  <c r="R69" i="457" s="1"/>
  <c r="R19" i="457"/>
  <c r="Q166" i="457"/>
  <c r="Q33" i="457"/>
  <c r="Q37" i="457" s="1"/>
  <c r="Q44" i="457" s="1"/>
  <c r="P200" i="455"/>
  <c r="P201" i="455" s="1"/>
  <c r="W281" i="457"/>
  <c r="W280" i="457"/>
  <c r="W20" i="457"/>
  <c r="Q18" i="455"/>
  <c r="Q71" i="455"/>
  <c r="Q72" i="455" s="1"/>
  <c r="Q9" i="455" s="1"/>
  <c r="Q10" i="455"/>
  <c r="U189" i="455"/>
  <c r="T184" i="455"/>
  <c r="T185" i="455" s="1"/>
  <c r="T280" i="455"/>
  <c r="T281" i="455"/>
  <c r="T20" i="455"/>
  <c r="T113" i="455"/>
  <c r="Q13" i="455" l="1"/>
  <c r="Q15" i="455" s="1"/>
  <c r="T11" i="455"/>
  <c r="T34" i="455"/>
  <c r="T186" i="455"/>
  <c r="Q25" i="455"/>
  <c r="Q22" i="455"/>
  <c r="Q24" i="455" s="1"/>
  <c r="Q237" i="455" s="1"/>
  <c r="U196" i="455"/>
  <c r="U194" i="455"/>
  <c r="R18" i="457"/>
  <c r="R71" i="457"/>
  <c r="R72" i="457" s="1"/>
  <c r="R9" i="457" s="1"/>
  <c r="R13" i="457" s="1"/>
  <c r="R15" i="457" s="1"/>
  <c r="W11" i="457"/>
  <c r="W34" i="457"/>
  <c r="W186" i="457"/>
  <c r="AQ5" i="436"/>
  <c r="AP6" i="436"/>
  <c r="Q200" i="457"/>
  <c r="Q201" i="457" s="1"/>
  <c r="Q28" i="457" s="1"/>
  <c r="Q31" i="457" s="1"/>
  <c r="Q43" i="457" s="1"/>
  <c r="X196" i="457"/>
  <c r="X184" i="457" s="1"/>
  <c r="X185" i="457" s="1"/>
  <c r="X34" i="457" s="1"/>
  <c r="X194" i="457"/>
  <c r="X110" i="457" s="1"/>
  <c r="X112" i="457" s="1"/>
  <c r="X113" i="457" s="1"/>
  <c r="X11" i="457" s="1"/>
  <c r="X281" i="457" l="1"/>
  <c r="X280" i="457"/>
  <c r="X20" i="457"/>
  <c r="R22" i="457"/>
  <c r="R24" i="457" s="1"/>
  <c r="R237" i="457" s="1"/>
  <c r="R25" i="457"/>
  <c r="AQ6" i="436"/>
  <c r="AR5" i="436"/>
  <c r="X186" i="457"/>
  <c r="U110" i="455"/>
  <c r="U112" i="455" s="1"/>
  <c r="V194" i="455"/>
  <c r="Q234" i="455"/>
  <c r="U184" i="455"/>
  <c r="U185" i="455" s="1"/>
  <c r="U34" i="455" s="1"/>
  <c r="V189" i="455"/>
  <c r="U280" i="455" l="1"/>
  <c r="U281" i="455"/>
  <c r="U20" i="455"/>
  <c r="U113" i="455"/>
  <c r="AS5" i="436"/>
  <c r="AR6" i="436"/>
  <c r="R234" i="457"/>
  <c r="V196" i="455"/>
  <c r="Q236" i="455"/>
  <c r="R142" i="455"/>
  <c r="Q165" i="455"/>
  <c r="Q35" i="455"/>
  <c r="Q232" i="455"/>
  <c r="Q233" i="455" s="1"/>
  <c r="U186" i="455"/>
  <c r="V110" i="455"/>
  <c r="V112" i="455" s="1"/>
  <c r="V281" i="455" l="1"/>
  <c r="V280" i="455"/>
  <c r="V20" i="455"/>
  <c r="R144" i="455"/>
  <c r="R67" i="455"/>
  <c r="R69" i="455" s="1"/>
  <c r="R19" i="455"/>
  <c r="V113" i="455"/>
  <c r="U11" i="455"/>
  <c r="Q39" i="455"/>
  <c r="Q5" i="455" s="1"/>
  <c r="Q38" i="455"/>
  <c r="S142" i="457"/>
  <c r="R165" i="457"/>
  <c r="R35" i="457"/>
  <c r="R236" i="457"/>
  <c r="R232" i="457"/>
  <c r="R233" i="457" s="1"/>
  <c r="W189" i="455"/>
  <c r="V184" i="455"/>
  <c r="V185" i="455" s="1"/>
  <c r="V34" i="455" s="1"/>
  <c r="Q29" i="455"/>
  <c r="Q166" i="455"/>
  <c r="Q33" i="455"/>
  <c r="Q37" i="455" s="1"/>
  <c r="Q44" i="455" s="1"/>
  <c r="AS6" i="436"/>
  <c r="AT5" i="436"/>
  <c r="Q200" i="455" l="1"/>
  <c r="Q201" i="455" s="1"/>
  <c r="Q28" i="455" s="1"/>
  <c r="Q31" i="455" s="1"/>
  <c r="Q43" i="455" s="1"/>
  <c r="W196" i="455"/>
  <c r="W194" i="455"/>
  <c r="S144" i="457"/>
  <c r="R166" i="457"/>
  <c r="R33" i="457"/>
  <c r="R37" i="457" s="1"/>
  <c r="R44" i="457" s="1"/>
  <c r="R71" i="455"/>
  <c r="R10" i="455"/>
  <c r="AU5" i="436"/>
  <c r="AT6" i="436"/>
  <c r="V186" i="455"/>
  <c r="R38" i="457"/>
  <c r="R39" i="457"/>
  <c r="R5" i="457" s="1"/>
  <c r="S67" i="457"/>
  <c r="S69" i="457" s="1"/>
  <c r="S19" i="457"/>
  <c r="V11" i="455"/>
  <c r="R29" i="457"/>
  <c r="R72" i="455"/>
  <c r="R9" i="455" s="1"/>
  <c r="R13" i="455" s="1"/>
  <c r="R15" i="455" s="1"/>
  <c r="R18" i="455"/>
  <c r="R200" i="457" l="1"/>
  <c r="R201" i="457" s="1"/>
  <c r="R28" i="457" s="1"/>
  <c r="R31" i="457" s="1"/>
  <c r="R43" i="457" s="1"/>
  <c r="S71" i="457"/>
  <c r="S10" i="457"/>
  <c r="R25" i="455"/>
  <c r="R22" i="455"/>
  <c r="R24" i="455" s="1"/>
  <c r="R237" i="455" s="1"/>
  <c r="S72" i="457"/>
  <c r="S9" i="457" s="1"/>
  <c r="S18" i="457"/>
  <c r="W110" i="455"/>
  <c r="W112" i="455" s="1"/>
  <c r="AU6" i="436"/>
  <c r="AV5" i="436"/>
  <c r="X189" i="455"/>
  <c r="W184" i="455"/>
  <c r="W185" i="455" s="1"/>
  <c r="W34" i="455" s="1"/>
  <c r="S13" i="457" l="1"/>
  <c r="S15" i="457" s="1"/>
  <c r="W186" i="455"/>
  <c r="S22" i="457"/>
  <c r="S24" i="457" s="1"/>
  <c r="S237" i="457" s="1"/>
  <c r="S25" i="457"/>
  <c r="X196" i="455"/>
  <c r="X184" i="455" s="1"/>
  <c r="X185" i="455" s="1"/>
  <c r="X34" i="455" s="1"/>
  <c r="X194" i="455"/>
  <c r="X110" i="455" s="1"/>
  <c r="X112" i="455" s="1"/>
  <c r="R234" i="455"/>
  <c r="X186" i="455"/>
  <c r="AW5" i="436"/>
  <c r="AV6" i="436"/>
  <c r="W280" i="455"/>
  <c r="W281" i="455"/>
  <c r="W20" i="455"/>
  <c r="W113" i="455"/>
  <c r="AW6" i="436" l="1"/>
  <c r="AX5" i="436"/>
  <c r="X280" i="455"/>
  <c r="X281" i="455"/>
  <c r="X20" i="455"/>
  <c r="S142" i="455"/>
  <c r="R165" i="455"/>
  <c r="R35" i="455"/>
  <c r="R236" i="455"/>
  <c r="R233" i="455"/>
  <c r="R232" i="455"/>
  <c r="S144" i="455" s="1"/>
  <c r="X113" i="455"/>
  <c r="X11" i="455" s="1"/>
  <c r="W11" i="455"/>
  <c r="S234" i="457"/>
  <c r="S10" i="455" l="1"/>
  <c r="S35" i="457"/>
  <c r="S236" i="457"/>
  <c r="T142" i="457"/>
  <c r="S165" i="457"/>
  <c r="S232" i="457"/>
  <c r="S233" i="457" s="1"/>
  <c r="R166" i="455"/>
  <c r="R33" i="455"/>
  <c r="R37" i="455" s="1"/>
  <c r="R44" i="455" s="1"/>
  <c r="S67" i="455"/>
  <c r="S69" i="455" s="1"/>
  <c r="S19" i="455"/>
  <c r="AY5" i="436"/>
  <c r="AX6" i="436"/>
  <c r="R38" i="455"/>
  <c r="R39" i="455"/>
  <c r="R5" i="455" s="1"/>
  <c r="R29" i="455"/>
  <c r="R200" i="455" s="1"/>
  <c r="R201" i="455" s="1"/>
  <c r="T144" i="457" l="1"/>
  <c r="S39" i="457"/>
  <c r="S5" i="457" s="1"/>
  <c r="S38" i="457"/>
  <c r="AY6" i="436"/>
  <c r="AZ5" i="436"/>
  <c r="S166" i="457"/>
  <c r="S33" i="457"/>
  <c r="S37" i="457" s="1"/>
  <c r="S44" i="457" s="1"/>
  <c r="R28" i="455"/>
  <c r="R31" i="455" s="1"/>
  <c r="R43" i="455" s="1"/>
  <c r="S18" i="455"/>
  <c r="S29" i="457"/>
  <c r="T67" i="457"/>
  <c r="T69" i="457" s="1"/>
  <c r="T19" i="457"/>
  <c r="S71" i="455"/>
  <c r="S72" i="455" s="1"/>
  <c r="S9" i="455" s="1"/>
  <c r="S13" i="455" s="1"/>
  <c r="S15" i="455" s="1"/>
  <c r="S200" i="457" l="1"/>
  <c r="S201" i="457" s="1"/>
  <c r="S28" i="457" s="1"/>
  <c r="S31" i="457" s="1"/>
  <c r="S43" i="457" s="1"/>
  <c r="S25" i="455"/>
  <c r="S22" i="455"/>
  <c r="S24" i="455" s="1"/>
  <c r="S237" i="455" s="1"/>
  <c r="T18" i="457"/>
  <c r="AZ6" i="436"/>
  <c r="BA5" i="436"/>
  <c r="T71" i="457"/>
  <c r="T72" i="457" s="1"/>
  <c r="T9" i="457" s="1"/>
  <c r="T13" i="457" s="1"/>
  <c r="T15" i="457" s="1"/>
  <c r="T10" i="457"/>
  <c r="BB5" i="436" l="1"/>
  <c r="BA6" i="436"/>
  <c r="S234" i="455"/>
  <c r="T22" i="457"/>
  <c r="T24" i="457" s="1"/>
  <c r="T237" i="457" s="1"/>
  <c r="T25" i="457"/>
  <c r="S165" i="455" l="1"/>
  <c r="S35" i="455"/>
  <c r="S236" i="455"/>
  <c r="T142" i="455"/>
  <c r="S232" i="455"/>
  <c r="T234" i="457"/>
  <c r="BC5" i="436"/>
  <c r="BB6" i="436"/>
  <c r="T165" i="457" l="1"/>
  <c r="T35" i="457"/>
  <c r="T236" i="457"/>
  <c r="U142" i="457"/>
  <c r="T232" i="457"/>
  <c r="U144" i="457" s="1"/>
  <c r="S38" i="455"/>
  <c r="S39" i="455"/>
  <c r="S5" i="455" s="1"/>
  <c r="S29" i="455"/>
  <c r="S233" i="455"/>
  <c r="BC6" i="436"/>
  <c r="BD5" i="436"/>
  <c r="T144" i="455"/>
  <c r="T67" i="455"/>
  <c r="T69" i="455" s="1"/>
  <c r="T19" i="455"/>
  <c r="S166" i="455"/>
  <c r="S33" i="455"/>
  <c r="S37" i="455" s="1"/>
  <c r="S44" i="455" s="1"/>
  <c r="T18" i="455" l="1"/>
  <c r="T39" i="457"/>
  <c r="T5" i="457" s="1"/>
  <c r="T38" i="457"/>
  <c r="T71" i="455"/>
  <c r="T72" i="455" s="1"/>
  <c r="T9" i="455" s="1"/>
  <c r="T13" i="455" s="1"/>
  <c r="T15" i="455" s="1"/>
  <c r="T10" i="455"/>
  <c r="T29" i="457"/>
  <c r="T233" i="457"/>
  <c r="BE5" i="436"/>
  <c r="BD6" i="436"/>
  <c r="S200" i="455"/>
  <c r="S201" i="455" s="1"/>
  <c r="S28" i="455" s="1"/>
  <c r="S31" i="455" s="1"/>
  <c r="S43" i="455" s="1"/>
  <c r="U10" i="457"/>
  <c r="U67" i="457"/>
  <c r="U69" i="457" s="1"/>
  <c r="U19" i="457"/>
  <c r="T166" i="457"/>
  <c r="T33" i="457"/>
  <c r="T37" i="457" s="1"/>
  <c r="T44" i="457" s="1"/>
  <c r="BE6" i="436" l="1"/>
  <c r="BF5" i="436"/>
  <c r="BF6" i="436" s="1"/>
  <c r="T200" i="457"/>
  <c r="T201" i="457" s="1"/>
  <c r="T28" i="457" s="1"/>
  <c r="T31" i="457" s="1"/>
  <c r="T43" i="457" s="1"/>
  <c r="U71" i="457"/>
  <c r="T25" i="455"/>
  <c r="T22" i="455"/>
  <c r="T24" i="455" s="1"/>
  <c r="T237" i="455" s="1"/>
  <c r="U72" i="457"/>
  <c r="U9" i="457" s="1"/>
  <c r="U13" i="457" s="1"/>
  <c r="U15" i="457" s="1"/>
  <c r="U18" i="457"/>
  <c r="T234" i="455" l="1"/>
  <c r="U25" i="457"/>
  <c r="U22" i="457"/>
  <c r="U24" i="457" s="1"/>
  <c r="U237" i="457" s="1"/>
  <c r="U234" i="457" l="1"/>
  <c r="T35" i="455"/>
  <c r="T236" i="455"/>
  <c r="U142" i="455"/>
  <c r="T165" i="455"/>
  <c r="T232" i="455"/>
  <c r="U144" i="455" s="1"/>
  <c r="U10" i="455" l="1"/>
  <c r="T39" i="455"/>
  <c r="T5" i="455" s="1"/>
  <c r="T38" i="455"/>
  <c r="T166" i="455"/>
  <c r="T33" i="455"/>
  <c r="T37" i="455" s="1"/>
  <c r="T44" i="455" s="1"/>
  <c r="U67" i="455"/>
  <c r="U69" i="455" s="1"/>
  <c r="U19" i="455"/>
  <c r="T29" i="455"/>
  <c r="T200" i="455" s="1"/>
  <c r="T201" i="455" s="1"/>
  <c r="T233" i="455"/>
  <c r="U35" i="457"/>
  <c r="U236" i="457"/>
  <c r="V142" i="457"/>
  <c r="U165" i="457"/>
  <c r="U232" i="457"/>
  <c r="U233" i="457" s="1"/>
  <c r="U166" i="457" l="1"/>
  <c r="U33" i="457"/>
  <c r="U37" i="457" s="1"/>
  <c r="U44" i="457" s="1"/>
  <c r="U18" i="455"/>
  <c r="U29" i="457"/>
  <c r="U200" i="457" s="1"/>
  <c r="U201" i="457" s="1"/>
  <c r="V67" i="457"/>
  <c r="V69" i="457" s="1"/>
  <c r="V19" i="457"/>
  <c r="V144" i="457"/>
  <c r="U39" i="457"/>
  <c r="U5" i="457" s="1"/>
  <c r="U38" i="457"/>
  <c r="T28" i="455"/>
  <c r="T31" i="455" s="1"/>
  <c r="T43" i="455" s="1"/>
  <c r="U71" i="455"/>
  <c r="U72" i="455" s="1"/>
  <c r="U9" i="455" s="1"/>
  <c r="U13" i="455" s="1"/>
  <c r="U15" i="455" s="1"/>
  <c r="U22" i="455" l="1"/>
  <c r="U24" i="455" s="1"/>
  <c r="U237" i="455" s="1"/>
  <c r="U25" i="455"/>
  <c r="V18" i="457"/>
  <c r="V71" i="457"/>
  <c r="V72" i="457" s="1"/>
  <c r="V9" i="457" s="1"/>
  <c r="V10" i="457"/>
  <c r="U28" i="457"/>
  <c r="U31" i="457" s="1"/>
  <c r="U43" i="457" s="1"/>
  <c r="V13" i="457" l="1"/>
  <c r="V15" i="457" s="1"/>
  <c r="V22" i="457"/>
  <c r="V24" i="457" s="1"/>
  <c r="V237" i="457" s="1"/>
  <c r="V25" i="457"/>
  <c r="U234" i="455"/>
  <c r="U236" i="455" l="1"/>
  <c r="V142" i="455"/>
  <c r="U165" i="455"/>
  <c r="U35" i="455"/>
  <c r="U232" i="455"/>
  <c r="V144" i="455" s="1"/>
  <c r="V234" i="457"/>
  <c r="V236" i="457" l="1"/>
  <c r="W142" i="457"/>
  <c r="V165" i="457"/>
  <c r="V35" i="457"/>
  <c r="V232" i="457"/>
  <c r="V233" i="457" s="1"/>
  <c r="U29" i="455"/>
  <c r="U166" i="455"/>
  <c r="U33" i="455"/>
  <c r="U37" i="455" s="1"/>
  <c r="U44" i="455" s="1"/>
  <c r="V10" i="455"/>
  <c r="V67" i="455"/>
  <c r="V69" i="455" s="1"/>
  <c r="V19" i="455"/>
  <c r="U233" i="455"/>
  <c r="U39" i="455"/>
  <c r="U5" i="455" s="1"/>
  <c r="U38" i="455"/>
  <c r="W144" i="457" l="1"/>
  <c r="W10" i="457" s="1"/>
  <c r="V71" i="455"/>
  <c r="V72" i="455" s="1"/>
  <c r="V9" i="455" s="1"/>
  <c r="V13" i="455" s="1"/>
  <c r="V15" i="455" s="1"/>
  <c r="V29" i="457"/>
  <c r="V200" i="457" s="1"/>
  <c r="V201" i="457" s="1"/>
  <c r="V166" i="457"/>
  <c r="V33" i="457"/>
  <c r="V37" i="457" s="1"/>
  <c r="V44" i="457" s="1"/>
  <c r="V18" i="455"/>
  <c r="W67" i="457"/>
  <c r="W69" i="457" s="1"/>
  <c r="W19" i="457"/>
  <c r="U200" i="455"/>
  <c r="U201" i="455" s="1"/>
  <c r="U28" i="455" s="1"/>
  <c r="U31" i="455" s="1"/>
  <c r="U43" i="455" s="1"/>
  <c r="V39" i="457"/>
  <c r="V5" i="457" s="1"/>
  <c r="V38" i="457"/>
  <c r="W71" i="457" l="1"/>
  <c r="W72" i="457" s="1"/>
  <c r="W9" i="457" s="1"/>
  <c r="W13" i="457" s="1"/>
  <c r="W15" i="457" s="1"/>
  <c r="V28" i="457"/>
  <c r="V31" i="457" s="1"/>
  <c r="V43" i="457" s="1"/>
  <c r="W18" i="457"/>
  <c r="V25" i="455"/>
  <c r="V22" i="455"/>
  <c r="V24" i="455" s="1"/>
  <c r="V237" i="455" s="1"/>
  <c r="W25" i="457" l="1"/>
  <c r="W22" i="457"/>
  <c r="W24" i="457" s="1"/>
  <c r="W237" i="457" s="1"/>
  <c r="V234" i="455"/>
  <c r="W234" i="457" l="1"/>
  <c r="W142" i="455"/>
  <c r="V165" i="455"/>
  <c r="V35" i="455"/>
  <c r="V236" i="455"/>
  <c r="V232" i="455"/>
  <c r="V233" i="455" s="1"/>
  <c r="W144" i="455" l="1"/>
  <c r="W71" i="455" s="1"/>
  <c r="V38" i="455"/>
  <c r="V39" i="455"/>
  <c r="V5" i="455" s="1"/>
  <c r="W67" i="455"/>
  <c r="W69" i="455" s="1"/>
  <c r="W19" i="455"/>
  <c r="V29" i="455"/>
  <c r="W236" i="457"/>
  <c r="X142" i="457"/>
  <c r="W165" i="457"/>
  <c r="W35" i="457"/>
  <c r="X144" i="457"/>
  <c r="W232" i="457"/>
  <c r="W233" i="457" s="1"/>
  <c r="W10" i="455"/>
  <c r="V166" i="455"/>
  <c r="V33" i="455"/>
  <c r="V37" i="455" s="1"/>
  <c r="V44" i="455" s="1"/>
  <c r="X10" i="457" l="1"/>
  <c r="X67" i="457"/>
  <c r="X69" i="457" s="1"/>
  <c r="X19" i="457"/>
  <c r="W38" i="457"/>
  <c r="W39" i="457"/>
  <c r="W5" i="457" s="1"/>
  <c r="W72" i="455"/>
  <c r="W9" i="455" s="1"/>
  <c r="W13" i="455" s="1"/>
  <c r="W15" i="455" s="1"/>
  <c r="W18" i="455"/>
  <c r="W29" i="457"/>
  <c r="W166" i="457"/>
  <c r="W33" i="457"/>
  <c r="W37" i="457" s="1"/>
  <c r="W44" i="457" s="1"/>
  <c r="V200" i="455"/>
  <c r="V201" i="455" s="1"/>
  <c r="V28" i="455" s="1"/>
  <c r="V31" i="455" s="1"/>
  <c r="V43" i="455" s="1"/>
  <c r="X18" i="457" l="1"/>
  <c r="W200" i="457"/>
  <c r="W201" i="457" s="1"/>
  <c r="W28" i="457" s="1"/>
  <c r="W31" i="457" s="1"/>
  <c r="W43" i="457" s="1"/>
  <c r="X71" i="457"/>
  <c r="X72" i="457" s="1"/>
  <c r="X9" i="457" s="1"/>
  <c r="X13" i="457" s="1"/>
  <c r="X15" i="457" s="1"/>
  <c r="W22" i="455"/>
  <c r="W24" i="455" s="1"/>
  <c r="W237" i="455" s="1"/>
  <c r="W25" i="455"/>
  <c r="X22" i="457" l="1"/>
  <c r="X24" i="457" s="1"/>
  <c r="X237" i="457" s="1"/>
  <c r="X234" i="457" s="1"/>
  <c r="X25" i="457"/>
  <c r="W234" i="455"/>
  <c r="W165" i="455" l="1"/>
  <c r="W35" i="455"/>
  <c r="W236" i="455"/>
  <c r="X142" i="455"/>
  <c r="W232" i="455"/>
  <c r="X144" i="455" s="1"/>
  <c r="X35" i="457"/>
  <c r="X233" i="457"/>
  <c r="X165" i="457"/>
  <c r="X236" i="457"/>
  <c r="X232" i="457"/>
  <c r="X29" i="457" s="1"/>
  <c r="W38" i="455" l="1"/>
  <c r="W39" i="455"/>
  <c r="W5" i="455" s="1"/>
  <c r="X38" i="457"/>
  <c r="X39" i="457"/>
  <c r="X5" i="457" s="1"/>
  <c r="W29" i="455"/>
  <c r="W233" i="455"/>
  <c r="X166" i="457"/>
  <c r="X33" i="457"/>
  <c r="X37" i="457" s="1"/>
  <c r="X44" i="457" s="1"/>
  <c r="X10" i="455"/>
  <c r="X67" i="455"/>
  <c r="X69" i="455" s="1"/>
  <c r="X19" i="455"/>
  <c r="W166" i="455"/>
  <c r="W33" i="455"/>
  <c r="W37" i="455" s="1"/>
  <c r="W44" i="455" s="1"/>
  <c r="X71" i="455" l="1"/>
  <c r="X72" i="455" s="1"/>
  <c r="X9" i="455" s="1"/>
  <c r="X13" i="455" s="1"/>
  <c r="X15" i="455" s="1"/>
  <c r="W200" i="455"/>
  <c r="W201" i="455" s="1"/>
  <c r="W28" i="455" s="1"/>
  <c r="W31" i="455" s="1"/>
  <c r="W43" i="455" s="1"/>
  <c r="X18" i="455"/>
  <c r="X200" i="457"/>
  <c r="X201" i="457" s="1"/>
  <c r="X28" i="457" s="1"/>
  <c r="X31" i="457" s="1"/>
  <c r="X43" i="457" s="1"/>
  <c r="X22" i="455" l="1"/>
  <c r="X24" i="455" s="1"/>
  <c r="X237" i="455" s="1"/>
  <c r="X234" i="455" s="1"/>
  <c r="X25" i="455"/>
  <c r="X35" i="455" l="1"/>
  <c r="X236" i="455"/>
  <c r="X165" i="455"/>
  <c r="X233" i="455"/>
  <c r="X232" i="455"/>
  <c r="X29" i="455" s="1"/>
  <c r="X166" i="455" l="1"/>
  <c r="X33" i="455"/>
  <c r="X37" i="455" s="1"/>
  <c r="X44" i="455" s="1"/>
  <c r="X39" i="455"/>
  <c r="X5" i="455" s="1"/>
  <c r="X38" i="455"/>
  <c r="X200" i="455"/>
  <c r="X201" i="455" s="1"/>
  <c r="X28" i="455" l="1"/>
  <c r="X31" i="455" s="1"/>
  <c r="X43" i="455" s="1"/>
</calcChain>
</file>

<file path=xl/comments1.xml><?xml version="1.0" encoding="utf-8"?>
<comments xmlns="http://schemas.openxmlformats.org/spreadsheetml/2006/main">
  <authors>
    <author>Matthew Bell</author>
    <author>Author</author>
  </authors>
  <commentList>
    <comment ref="O60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86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T120" authorId="1" shapeId="0">
      <text>
        <r>
          <rPr>
            <sz val="9"/>
            <color indexed="81"/>
            <rFont val="Tahoma"/>
            <family val="2"/>
          </rPr>
          <t xml:space="preserve">No track after this year so reverts to nominal GDP growth
</t>
        </r>
      </text>
    </comment>
    <comment ref="O132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137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D169" authorId="1" shapeId="0">
      <text>
        <r>
          <rPr>
            <sz val="9"/>
            <color indexed="81"/>
            <rFont val="Tahoma"/>
            <family val="2"/>
          </rPr>
          <t xml:space="preserve">Starting point references </t>
        </r>
        <r>
          <rPr>
            <i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worksheet but later years use previous year's closing balance.
</t>
        </r>
      </text>
    </comment>
    <comment ref="D189" authorId="1" shapeId="0">
      <text>
        <r>
          <rPr>
            <sz val="9"/>
            <color indexed="81"/>
            <rFont val="Tahoma"/>
            <family val="2"/>
          </rPr>
          <t xml:space="preserve">Starting point references </t>
        </r>
        <r>
          <rPr>
            <i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worksheet but later years use previous year's closing balance.
</t>
        </r>
      </text>
    </comment>
  </commentList>
</comments>
</file>

<file path=xl/comments2.xml><?xml version="1.0" encoding="utf-8"?>
<comments xmlns="http://schemas.openxmlformats.org/spreadsheetml/2006/main">
  <authors>
    <author>Matthew Bell</author>
    <author>Author</author>
  </authors>
  <commentList>
    <comment ref="O60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86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T120" authorId="1" shapeId="0">
      <text>
        <r>
          <rPr>
            <sz val="9"/>
            <color indexed="81"/>
            <rFont val="Tahoma"/>
            <family val="2"/>
          </rPr>
          <t xml:space="preserve">No track after this year so reverts to nominal GDP growth
</t>
        </r>
      </text>
    </comment>
    <comment ref="O132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O137" authorId="0" shapeId="0">
      <text>
        <r>
          <rPr>
            <sz val="9"/>
            <color indexed="81"/>
            <rFont val="Tahoma"/>
            <family val="2"/>
          </rPr>
          <t>Base numbers have been amended to ensure one-off items in the forecast period do not carry forward into the projections.</t>
        </r>
      </text>
    </comment>
    <comment ref="D169" authorId="1" shapeId="0">
      <text>
        <r>
          <rPr>
            <sz val="9"/>
            <color indexed="81"/>
            <rFont val="Tahoma"/>
            <family val="2"/>
          </rPr>
          <t xml:space="preserve">Starting point references </t>
        </r>
        <r>
          <rPr>
            <i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worksheet but later years use previous year's closing balance.
</t>
        </r>
      </text>
    </comment>
    <comment ref="D189" authorId="1" shapeId="0">
      <text>
        <r>
          <rPr>
            <sz val="9"/>
            <color indexed="81"/>
            <rFont val="Tahoma"/>
            <family val="2"/>
          </rPr>
          <t xml:space="preserve">Starting point references </t>
        </r>
        <r>
          <rPr>
            <i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worksheet but later years use previous year's closing balance.
</t>
        </r>
      </text>
    </comment>
  </commentList>
</comments>
</file>

<file path=xl/sharedStrings.xml><?xml version="1.0" encoding="utf-8"?>
<sst xmlns="http://schemas.openxmlformats.org/spreadsheetml/2006/main" count="2139" uniqueCount="1085">
  <si>
    <t>Fiscal RR addition to net worth</t>
  </si>
  <si>
    <t>Economic RR addition to revenue</t>
  </si>
  <si>
    <t>2012/13</t>
  </si>
  <si>
    <t>Tertiary Education Student Loans Analysis (SLIM)</t>
  </si>
  <si>
    <t>Males (ages in 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</si>
  <si>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</si>
  <si>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</si>
  <si>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</si>
  <si>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</si>
  <si>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</si>
  <si>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</si>
  <si>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</si>
  <si>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</si>
  <si>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</si>
  <si>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</si>
  <si>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</si>
  <si>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</si>
  <si>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</si>
  <si>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</si>
  <si>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</si>
  <si>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</si>
  <si>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</si>
  <si>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</si>
  <si>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</si>
  <si>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</si>
  <si>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</si>
  <si>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</si>
  <si>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</si>
  <si>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</si>
  <si>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</si>
  <si>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</si>
  <si>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</si>
  <si>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</si>
  <si>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</si>
  <si>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</si>
  <si>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</si>
  <si>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</si>
  <si>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</si>
  <si>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</si>
  <si>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</si>
  <si>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</si>
  <si>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</si>
  <si>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</si>
  <si>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</si>
  <si>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</si>
  <si>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</si>
  <si>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</si>
  <si>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</si>
  <si>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</si>
  <si>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</si>
  <si>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</si>
  <si>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</si>
  <si>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</si>
  <si>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</si>
  <si>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</si>
  <si>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</si>
  <si>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</si>
  <si>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</si>
  <si>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</si>
  <si>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</si>
  <si>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</si>
  <si>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</si>
  <si>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</si>
  <si>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</si>
  <si>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</si>
  <si>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</si>
  <si>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</si>
  <si>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</si>
  <si>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</si>
  <si>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</si>
  <si>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</si>
  <si>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</si>
  <si>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</si>
  <si>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</si>
  <si>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</si>
  <si>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</si>
  <si>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</si>
  <si>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</si>
  <si>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</si>
  <si>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</si>
  <si>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</si>
  <si>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</si>
  <si>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</si>
  <si>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</si>
  <si>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</si>
  <si>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</si>
  <si>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</si>
  <si>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</si>
  <si>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</si>
  <si>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</si>
  <si>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</si>
  <si>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</si>
  <si>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</si>
  <si>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</si>
  <si>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</si>
  <si>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 and above</t>
  </si>
  <si>
    <t>Females (ages in years)</t>
  </si>
  <si>
    <t>Total Male population (in millions)</t>
  </si>
  <si>
    <t>Total Female population (in millions)</t>
  </si>
  <si>
    <t>Total Population (in millions)</t>
  </si>
  <si>
    <t>2007/08</t>
  </si>
  <si>
    <t>2008/09</t>
  </si>
  <si>
    <t>2009/10</t>
  </si>
  <si>
    <t>2010/11</t>
  </si>
  <si>
    <t>2011/12</t>
  </si>
  <si>
    <t>2013/14</t>
  </si>
  <si>
    <t>2014/15</t>
  </si>
  <si>
    <t>2015/16</t>
  </si>
  <si>
    <t>2016/17</t>
  </si>
  <si>
    <t>KiwiSaver expense</t>
  </si>
  <si>
    <t>2017/18</t>
  </si>
  <si>
    <t>2018/19</t>
  </si>
  <si>
    <t>Provision for Kyoto</t>
  </si>
  <si>
    <t>Economic RR addition to expenses ex finance costs</t>
  </si>
  <si>
    <t>Economic RR annual addition to gross debt</t>
  </si>
  <si>
    <t>Check against forecast</t>
  </si>
  <si>
    <t>Economic RR</t>
  </si>
  <si>
    <t>no</t>
  </si>
  <si>
    <t>Fiscal RR</t>
  </si>
  <si>
    <t>Nominal GDP</t>
  </si>
  <si>
    <t>CPI</t>
  </si>
  <si>
    <t>Labour force</t>
  </si>
  <si>
    <t>Unemployment  rate</t>
  </si>
  <si>
    <t>Average weekly hours</t>
  </si>
  <si>
    <t>AGE GROUP</t>
  </si>
  <si>
    <t>FEMALE</t>
  </si>
  <si>
    <t>MALE</t>
  </si>
  <si>
    <t>65 and above</t>
  </si>
  <si>
    <t>Operating Balance</t>
  </si>
  <si>
    <t>Net Worth</t>
  </si>
  <si>
    <t>NOTES TO THE FISCAL STATEMENTS</t>
  </si>
  <si>
    <t>Yes</t>
  </si>
  <si>
    <t>No</t>
  </si>
  <si>
    <t>Opening Balance</t>
  </si>
  <si>
    <t>Closing Balance</t>
  </si>
  <si>
    <t>FISCAL YEAR (JULY TO JUNE)</t>
  </si>
  <si>
    <t>Percentage change</t>
  </si>
  <si>
    <t>ANNUAL CONVERGENCE RATES</t>
  </si>
  <si>
    <t>Participation rate (15+ popn)</t>
  </si>
  <si>
    <t>Core Crown health expenditure</t>
  </si>
  <si>
    <t>Total Crown health expenditure</t>
  </si>
  <si>
    <t>Core Crown education expenditure</t>
  </si>
  <si>
    <t>Total Crown education expenditure</t>
  </si>
  <si>
    <t>Real growth of education</t>
  </si>
  <si>
    <t>Core Crown other expenses</t>
  </si>
  <si>
    <t>Closing Fund Balance</t>
  </si>
  <si>
    <t>Net December quarter average wage</t>
  </si>
  <si>
    <t>NZ Super Floor (as % of average wage)</t>
  </si>
  <si>
    <t>Net NZS for married individual (CPI-indexed 1 April)</t>
  </si>
  <si>
    <t>Average Wage floor applied to NZS growth</t>
  </si>
  <si>
    <t>SOCIAL WELFARE BENEFITS: AGE AND GENDER PROPORTIONS</t>
  </si>
  <si>
    <t>Proj Yr1</t>
  </si>
  <si>
    <t>Finance costs</t>
  </si>
  <si>
    <t>Government 10-year Bond Rate</t>
  </si>
  <si>
    <t>Real GDP (Base = 1995/96)</t>
  </si>
  <si>
    <t>Real GDP (production), Base = 1995/96</t>
  </si>
  <si>
    <t>Allowance for New Capital Expenditure</t>
  </si>
  <si>
    <t>Personal Taxation Elasticity (for Fiscal Drag)</t>
  </si>
  <si>
    <t>TOTAL CROWN - Operating Statement Analysis</t>
  </si>
  <si>
    <t>ASSUMPTIONS FOR SCENARIOS</t>
  </si>
  <si>
    <t>TOTAL CROWN - Balance Sheet Analysis</t>
  </si>
  <si>
    <t>CORE CROWN - Operating Statement Analysis</t>
  </si>
  <si>
    <t>CORE CROWN - Balance Sheet Analysis</t>
  </si>
  <si>
    <t>INDEXATION OF NZ SUPERANNUATION (NZS)</t>
  </si>
  <si>
    <t>Base Assumptions in Projected years</t>
  </si>
  <si>
    <t>KiwiSaver</t>
  </si>
  <si>
    <t>Use targeted corporate tax-to-GDP ratio in projections?</t>
  </si>
  <si>
    <t>Use targeted other tax-to-GDP ratio in projections?</t>
  </si>
  <si>
    <t>Entire population</t>
  </si>
  <si>
    <t>TAX TO NOMINAL GDP RATIOS</t>
  </si>
  <si>
    <t>Target % of Nominal GDP for corporate taxes</t>
  </si>
  <si>
    <t>Target % of Nominal GDP for other taxes</t>
  </si>
  <si>
    <t>If set tax-to-GDP ratios are desired in projections, use Yes. Any other choice simply uses end-of-forecast ratios.</t>
  </si>
  <si>
    <t>To apply Fiscal Drag modelling to source deductions (PAYE) tax, use Yes. Any other choice applies nominal GDP growth only.</t>
  </si>
  <si>
    <t>Adjustment rate as % of GDP for all tax types</t>
  </si>
  <si>
    <t>Growth due to demographics</t>
  </si>
  <si>
    <t>Real growth of NZS</t>
  </si>
  <si>
    <t>Total annual growth</t>
  </si>
  <si>
    <t>Social Welfare (excluding NZS)</t>
  </si>
  <si>
    <t>Core Crown non-debt liabilities</t>
  </si>
  <si>
    <t>Total Crown non-debt liabilities</t>
  </si>
  <si>
    <t>Real growth of social welfare (excluding NZS)</t>
  </si>
  <si>
    <t>Total Assets to GDP (Core Crown)</t>
  </si>
  <si>
    <t>Real growth of health</t>
  </si>
  <si>
    <t>Other Non-Finance Expenses</t>
  </si>
  <si>
    <t>Source deductions</t>
  </si>
  <si>
    <t>Other persons</t>
  </si>
  <si>
    <t>Refunds</t>
  </si>
  <si>
    <t>Fringe benefit tax</t>
  </si>
  <si>
    <t>Labour Force (millions)</t>
  </si>
  <si>
    <t>Labour productivity growth</t>
  </si>
  <si>
    <t>Average hourly wage growth (ordinary time)</t>
  </si>
  <si>
    <t>Gross Dec qtr average weekly wage (ordinary time)</t>
  </si>
  <si>
    <t>Hourly wage growth (ordinary time)</t>
  </si>
  <si>
    <t>85+</t>
  </si>
  <si>
    <t>DSS UNDER 65</t>
  </si>
  <si>
    <t xml:space="preserve">   DSS OLDER</t>
  </si>
  <si>
    <t>Age Band</t>
  </si>
  <si>
    <t>20 - 29</t>
  </si>
  <si>
    <t>30 - 39</t>
  </si>
  <si>
    <t>40 - 49</t>
  </si>
  <si>
    <t>50 - 59</t>
  </si>
  <si>
    <t>65+</t>
  </si>
  <si>
    <t>TOTAL PAYMENTS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</si>
  <si>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</si>
  <si>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</si>
  <si>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</si>
  <si>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</si>
  <si>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</si>
  <si>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</si>
  <si>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</si>
  <si>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</si>
  <si>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</si>
  <si>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Under 20 (driven by 18 &amp; 19 yr olds)</t>
  </si>
  <si>
    <t>Female population 18 &amp; 19</t>
  </si>
  <si>
    <t>Historical fiscal years</t>
  </si>
  <si>
    <t>Forecast fiscal years</t>
  </si>
  <si>
    <t>Projected fiscal years begin with</t>
  </si>
  <si>
    <t>Growth due to inflation</t>
  </si>
  <si>
    <t>ECONOMIC READY RECKONER</t>
  </si>
  <si>
    <t>Male population 18 &amp; 19</t>
  </si>
  <si>
    <t>Female population 20 to 24</t>
  </si>
  <si>
    <t>Male population 20 to 24</t>
  </si>
  <si>
    <t>Female population 25 to 29</t>
  </si>
  <si>
    <t>Male population 25 to 29</t>
  </si>
  <si>
    <t>Female population 30 to 34</t>
  </si>
  <si>
    <t>Female population 35 to 39</t>
  </si>
  <si>
    <t>Male population 30 to 34</t>
  </si>
  <si>
    <t>Male population 35 to 39</t>
  </si>
  <si>
    <t>Female population 40 to 44</t>
  </si>
  <si>
    <t>Female population 45 to 49</t>
  </si>
  <si>
    <t>Female population 50 to 54</t>
  </si>
  <si>
    <t>Female population 55 to 59</t>
  </si>
  <si>
    <t>Female population 60 to 64</t>
  </si>
  <si>
    <t>Female population 65+</t>
  </si>
  <si>
    <t>Male population 40 to 44</t>
  </si>
  <si>
    <t>Male population 45 to 49</t>
  </si>
  <si>
    <t>Male population 50 to 54</t>
  </si>
  <si>
    <t>Male population 55 to 59</t>
  </si>
  <si>
    <t>Male population 60 to 64</t>
  </si>
  <si>
    <t>Male population 65+</t>
  </si>
  <si>
    <t>DATA FROM MACROFORECASTING</t>
  </si>
  <si>
    <t>Other taxes, including GST</t>
  </si>
  <si>
    <t>Total Crown tax revenue</t>
  </si>
  <si>
    <t>Other welfare assistance and expenses</t>
  </si>
  <si>
    <t>Allocate Capital Allowance (to Property, Plant &amp; Equipment)</t>
  </si>
  <si>
    <t>New Zealand Superannuation (NZS)</t>
  </si>
  <si>
    <t xml:space="preserve">The following input tracks are obtained from various sources both within and external to Treasury and act as exogenous inputs to the model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</si>
  <si>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</si>
  <si>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</si>
  <si>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</si>
  <si>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</si>
  <si>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</si>
  <si>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</si>
  <si>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</si>
  <si>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</si>
  <si>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</si>
  <si>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</si>
  <si>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</si>
  <si>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</si>
  <si>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</si>
  <si>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</si>
  <si>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</si>
  <si>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</si>
  <si>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</si>
  <si>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TOTAL</t>
  </si>
  <si>
    <t>PERSONAL HEALTH</t>
  </si>
  <si>
    <t xml:space="preserve">EXPENDITURE CATEGORY    </t>
  </si>
  <si>
    <t>AGE GROUP / GENDER</t>
  </si>
  <si>
    <t>MENTAL HEALTH</t>
  </si>
  <si>
    <t>PUBLIC HEALTH</t>
  </si>
  <si>
    <t>TOTAL HEALTH</t>
  </si>
  <si>
    <t>Females</t>
  </si>
  <si>
    <t>NOTE A: TAX REVENUE</t>
  </si>
  <si>
    <t>This version of the FSM uses:</t>
  </si>
  <si>
    <t>Labour Productivity growth</t>
  </si>
  <si>
    <t>CONTRIBUTIONS TO CORE CROWN EXPENSE GROWTH</t>
  </si>
  <si>
    <t>Top-down expense adjustment</t>
  </si>
  <si>
    <t>Net surplus/(deficit) from associates and joint ventures</t>
  </si>
  <si>
    <t>Operating balance before gains/(losses) OBEGAL</t>
  </si>
  <si>
    <t>Total Crown revenue (excluding gains)</t>
  </si>
  <si>
    <t>Total Crown expenses (excluding losses)</t>
  </si>
  <si>
    <t>Other sovereign revenue</t>
  </si>
  <si>
    <t>Investment revenue and dividends</t>
  </si>
  <si>
    <t>Issued Currency</t>
  </si>
  <si>
    <t>Payables</t>
  </si>
  <si>
    <t>Insurance liabilities</t>
  </si>
  <si>
    <t>Provisions</t>
  </si>
  <si>
    <t>Deferred revenue</t>
  </si>
  <si>
    <t>Cash and cash equivalents</t>
  </si>
  <si>
    <t>Marketable securities and derivatives in gain</t>
  </si>
  <si>
    <t>Share investments</t>
  </si>
  <si>
    <t>Inventory</t>
  </si>
  <si>
    <t>Prepayments and other assets</t>
  </si>
  <si>
    <t>Equity accounted investments (including TEIs)</t>
  </si>
  <si>
    <t>Top-down capital adjustment</t>
  </si>
  <si>
    <t>Intangible assets and goodwill</t>
  </si>
  <si>
    <t>Total Net Worth</t>
  </si>
  <si>
    <t>NOTE: Revenue collected through the Crown's sovereign power</t>
  </si>
  <si>
    <t>NOTE: Social assistance and official development assistance</t>
  </si>
  <si>
    <t>Repayments made during the year</t>
  </si>
  <si>
    <t>Interest unwind</t>
  </si>
  <si>
    <t>Impairment</t>
  </si>
  <si>
    <t>Other movements</t>
  </si>
  <si>
    <t>NZ Superannuation Fund</t>
  </si>
  <si>
    <t>Other Core Crown</t>
  </si>
  <si>
    <t>Core Crown cash and cash equivalents</t>
  </si>
  <si>
    <t>Core Crown receivables</t>
  </si>
  <si>
    <t>Core Crown equity accounted investments</t>
  </si>
  <si>
    <t>Total Crown receivables</t>
  </si>
  <si>
    <t>Opening net worth</t>
  </si>
  <si>
    <t>Gross contribution from the Crown</t>
  </si>
  <si>
    <r>
      <t>plus</t>
    </r>
    <r>
      <rPr>
        <sz val="10"/>
        <rFont val="Times New Roman"/>
        <family val="1"/>
      </rPr>
      <t xml:space="preserve"> Gross contribution from the Crown</t>
    </r>
  </si>
  <si>
    <t>Core Crown marketable securities, derivatives in gain and share investments</t>
  </si>
  <si>
    <t>NZ Superannuation Fund portfolio (excluding cross-holdings of Govt stock)</t>
  </si>
  <si>
    <t>Total Crown marketable securities, derivatives in gain and share investments</t>
  </si>
  <si>
    <t>Revenue (excluding gains)</t>
  </si>
  <si>
    <t>Expenses (excluding losses)</t>
  </si>
  <si>
    <t>OBEGAL (Operating Balance before Gains and Losses)</t>
  </si>
  <si>
    <t>Revenue (excluding gains) to GDP (Total Crown)</t>
  </si>
  <si>
    <t>Expenses (excluding losses) to GDP (Total Crown)</t>
  </si>
  <si>
    <t>Expenses (excluding losses) without finance costs to GDP (Total Crown)</t>
  </si>
  <si>
    <t>Expenses (excluding losses) without finance costs</t>
  </si>
  <si>
    <t>OBEGAL (Operating Balance before Gains and Losses) to GDP (Total Crown)</t>
  </si>
  <si>
    <t>Revenue (excluding gains) to GDP (Core Crown)</t>
  </si>
  <si>
    <t>Expenses (excluding losses) to GDP (Core Crown)</t>
  </si>
  <si>
    <t>Expenses (excluding losses) without finance costs to GDP (Core Crown)</t>
  </si>
  <si>
    <t>Forecast period uses Fiscal forecast numbers (make any balancing adjustments on tax paid)</t>
  </si>
  <si>
    <t>Corporate tax</t>
  </si>
  <si>
    <t>Sales of goods and services</t>
  </si>
  <si>
    <t>Other revenue</t>
  </si>
  <si>
    <t>Social security and welfare</t>
  </si>
  <si>
    <t>GSF pension expenses</t>
  </si>
  <si>
    <t>Core Crown tax revenue</t>
  </si>
  <si>
    <t>Total Crown investment income</t>
  </si>
  <si>
    <t>ACC portfolio</t>
  </si>
  <si>
    <t>EQC portfolio</t>
  </si>
  <si>
    <t>Advances</t>
  </si>
  <si>
    <t>Receivables</t>
  </si>
  <si>
    <t>Borrowings - sovereign guaranteed</t>
  </si>
  <si>
    <t>Borrowings - non-sovereign guaranteed</t>
  </si>
  <si>
    <t>ASSUMPTIONS THAT ALTER FORECAST YEARS</t>
  </si>
  <si>
    <t>ALLOCATION OF OPERATING &amp; CAPITAL ALLOWANCES</t>
  </si>
  <si>
    <t>Allocate Operating Allowance</t>
  </si>
  <si>
    <t>% allocated to Health</t>
  </si>
  <si>
    <t>% allocated to Education</t>
  </si>
  <si>
    <t>Demographic Growth</t>
  </si>
  <si>
    <t>FISCAL INDICATOR AS % OF NOMINAL GDP (SELECT FROM BOX)</t>
  </si>
  <si>
    <t>Operating Balance to GDP (Total Crown)</t>
  </si>
  <si>
    <t>Total Assets to GDP (Total Crown)</t>
  </si>
  <si>
    <t>Fiscal Indicator as % of Nominal GDP</t>
  </si>
  <si>
    <t>Operating Balance to GDP (Core Crown)</t>
  </si>
  <si>
    <t>Transport and communications</t>
  </si>
  <si>
    <t>Economic and industrial services</t>
  </si>
  <si>
    <t>Primary services</t>
  </si>
  <si>
    <t>Heritage, culture and recreation</t>
  </si>
  <si>
    <t>Housing and community development</t>
  </si>
  <si>
    <t>Core government services</t>
  </si>
  <si>
    <t>Law and order</t>
  </si>
  <si>
    <t>Allowance for New Operating Initiatives</t>
  </si>
  <si>
    <t>Taxation revenue</t>
  </si>
  <si>
    <t xml:space="preserve">09/10 </t>
  </si>
  <si>
    <t>Total Crown expenses by functional classification</t>
  </si>
  <si>
    <t>INDEX</t>
  </si>
  <si>
    <t>FISCAL READY RECKONER</t>
  </si>
  <si>
    <t>FORECAST YEARS</t>
  </si>
  <si>
    <t>Enter new fiscal variables as additions, in $ millions, to the current forecasts.</t>
  </si>
  <si>
    <t>Use negative values for subtractions. Leave entry as zero for unchanged variables.</t>
  </si>
  <si>
    <t>Additions to revenue or expenses apply to the year of addition only.</t>
  </si>
  <si>
    <t>Additions to expenses via operating allowance</t>
  </si>
  <si>
    <t>Additions to assets or liabilities apply not only to that year, but to each following year also.</t>
  </si>
  <si>
    <t>Additions to financial assets</t>
  </si>
  <si>
    <t>Additions to other assets via capital allowance</t>
  </si>
  <si>
    <t>Additions to liabilities other than debt</t>
  </si>
  <si>
    <t>Calculated adjustment factors</t>
  </si>
  <si>
    <t>All figures in this section are calculated by formula.</t>
  </si>
  <si>
    <t>SCENARIO CALCULATIONS</t>
  </si>
  <si>
    <t>Age Distributions</t>
  </si>
  <si>
    <t>Forecast new operating spending</t>
  </si>
  <si>
    <t>GSF Gross Assets</t>
  </si>
  <si>
    <t>Property, plant and equipment</t>
  </si>
  <si>
    <t>Forecast new capital spending</t>
  </si>
  <si>
    <t>Total assets</t>
  </si>
  <si>
    <t>Total liabilities</t>
  </si>
  <si>
    <t>PROJECTED STATEMENT OF FINANCIAL PERFORMANCE</t>
  </si>
  <si>
    <t>PROJECTED STATEMENT OF FINANCIAL POSITION</t>
  </si>
  <si>
    <t>ECONOMIC PROJECTIONS ($BILLION, JUNE YEARS)</t>
  </si>
  <si>
    <t>NZS Fund investment income</t>
  </si>
  <si>
    <t>Student loans</t>
  </si>
  <si>
    <t>Total social security and welfare expense</t>
  </si>
  <si>
    <t>Core Crown expenses by functional classification</t>
  </si>
  <si>
    <t>Core Crown investment income</t>
  </si>
  <si>
    <r>
      <t xml:space="preserve">MODEL ASSUMPTIONS FROM 'SCENARIOS' COLUMN </t>
    </r>
    <r>
      <rPr>
        <b/>
        <sz val="12"/>
        <rFont val="Arial"/>
        <family val="2"/>
      </rPr>
      <t>→</t>
    </r>
  </si>
  <si>
    <t>NOTE N: STUDENT LOANS</t>
  </si>
  <si>
    <r>
      <t>plus</t>
    </r>
    <r>
      <rPr>
        <sz val="10"/>
        <rFont val="Times New Roman"/>
        <family val="1"/>
      </rPr>
      <t xml:space="preserve"> Crown Entity (CE) &amp; State-owned Entity (SOE) property, plant and equipment</t>
    </r>
  </si>
  <si>
    <t>Core Crown non-financial assets excluding property, plant and equipment</t>
  </si>
  <si>
    <t>Total Crown non-financial assets excluding property, plant and equipment</t>
  </si>
  <si>
    <t>NOTE S: NON-DEBT LIABILITIES</t>
  </si>
  <si>
    <r>
      <t xml:space="preserve">plus </t>
    </r>
    <r>
      <rPr>
        <sz val="10"/>
        <rFont val="Times New Roman"/>
        <family val="1"/>
      </rPr>
      <t>Eliminations from Core Crown borrowings - sovereign guaranteed</t>
    </r>
  </si>
  <si>
    <t>Core Crown Gross Debt</t>
  </si>
  <si>
    <t>Gross sovereign-issued debt (GSID)</t>
  </si>
  <si>
    <t>ACC payment weights</t>
  </si>
  <si>
    <t>New Zealand Superannuation Fund (NZSF)</t>
  </si>
  <si>
    <t>ACC COST WEIGHTS FOR PAYMENTS TO CLAIMANTS</t>
  </si>
  <si>
    <t>OPERATING &amp; CAPITAL PROVISION</t>
  </si>
  <si>
    <t>GROWTH RATES OF PROVISIONS</t>
  </si>
  <si>
    <t>Growth Rate of Operating Provision</t>
  </si>
  <si>
    <t>Growth Rate of Capital Provision</t>
  </si>
  <si>
    <t>Core Crown social security and welfare</t>
  </si>
  <si>
    <t>FISCAL DRAG</t>
  </si>
  <si>
    <t>NZ Superannuation</t>
  </si>
  <si>
    <t>NOTE: Student loans</t>
  </si>
  <si>
    <t>Total Crown other expenses</t>
  </si>
  <si>
    <t>Put in amounts, in $ billion, for first projected year values of the Operating and Capital Allowances.</t>
  </si>
  <si>
    <t>These are the economic variables most often altered in scenarios, especially the labour productivity growth in projected years.</t>
  </si>
  <si>
    <t>For annual growth equal to that of Nominal GDP, use GDP. For annual growth equal to that of inflation, use CPI.</t>
  </si>
  <si>
    <t>Present policy ensures NZS stays above a set % of average wage. To model this, use Yes.</t>
  </si>
  <si>
    <t>To model NZS expenditure in projected years with just CPI growth and no wage floor, use No.</t>
  </si>
  <si>
    <t>If selected value for Inflation Rate, Government 10-year Bond Rate or Unemployment Rate does not match final forecast year value,</t>
  </si>
  <si>
    <t>each converges to selected value at annual rate of change selected below. Enter annual change as a positive value, because model</t>
  </si>
  <si>
    <t>takes into account whether increase or decrease is needed. (Convergence rate immaterial if selection matches final forecast year).</t>
  </si>
  <si>
    <t xml:space="preserve">Allocating the Operating Allowance enables individual expenditure categories to be grown. The remaining % allocation goes to </t>
  </si>
  <si>
    <t>Allocating the Capital Allowances enables individual asset classes to be grown.</t>
  </si>
  <si>
    <t>Core Crown finance costs (including exchange rate losses/[gains])</t>
  </si>
  <si>
    <t>Total Crown finance costs (including exchange rate losses/[gains])</t>
  </si>
  <si>
    <t>Real growth of other non-finance cost expenses</t>
  </si>
  <si>
    <t>SCENARIO NAME:</t>
  </si>
  <si>
    <t>KEY ECONOMIC ASSUMPTIONS</t>
  </si>
  <si>
    <t>Labour Productivity Growth</t>
  </si>
  <si>
    <t>Inflation Rate</t>
  </si>
  <si>
    <t>KEY FISCAL POLICY ASSUMPTIONS</t>
  </si>
  <si>
    <t>Include Fiscal Drag</t>
  </si>
  <si>
    <t>Health</t>
  </si>
  <si>
    <t>Defence</t>
  </si>
  <si>
    <t>Other</t>
  </si>
  <si>
    <t>Unemployment Rate</t>
  </si>
  <si>
    <t>Males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</si>
  <si>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</si>
  <si>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</si>
  <si>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</si>
  <si>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</si>
  <si>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</si>
  <si>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</si>
  <si>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</si>
  <si>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</si>
  <si>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</si>
  <si>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</si>
  <si>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</si>
  <si>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</si>
  <si>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</si>
  <si>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</si>
  <si>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</si>
  <si>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</si>
  <si>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</si>
  <si>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</si>
  <si>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</si>
  <si>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</si>
  <si>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</si>
  <si>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</si>
  <si>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</si>
  <si>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</si>
  <si>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</si>
  <si>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</si>
  <si>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</si>
  <si>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</si>
  <si>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</si>
  <si>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</si>
  <si>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</si>
  <si>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</si>
  <si>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</si>
  <si>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</si>
  <si>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</si>
  <si>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</si>
  <si>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</si>
  <si>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</si>
  <si>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</si>
  <si>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</si>
  <si>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</si>
  <si>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</si>
  <si>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</si>
  <si>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</si>
  <si>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</si>
  <si>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</si>
  <si>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</si>
  <si>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</si>
  <si>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</si>
  <si>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</si>
  <si>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51/52</t>
  </si>
  <si>
    <t>52/53</t>
  </si>
  <si>
    <t>53/54</t>
  </si>
  <si>
    <t>GSF Liability (gross discount)</t>
  </si>
  <si>
    <t>54/55</t>
  </si>
  <si>
    <t>55/56</t>
  </si>
  <si>
    <t>56/57</t>
  </si>
  <si>
    <t>57/58</t>
  </si>
  <si>
    <t>58/59</t>
  </si>
  <si>
    <t>59/60</t>
  </si>
  <si>
    <t>60/61</t>
  </si>
  <si>
    <t>Fiscal Forecasts</t>
  </si>
  <si>
    <t>Economic Forecasts</t>
  </si>
  <si>
    <t>Benefit Forecasts</t>
  </si>
  <si>
    <t>NZ Superannuation Fund (NZSF)</t>
  </si>
  <si>
    <t>Government Superannuation Fund (GSF)</t>
  </si>
  <si>
    <t>Student Loans Track (TESLA)</t>
  </si>
  <si>
    <t>Health Weights</t>
  </si>
  <si>
    <t>Employment (= LF x (1-Unemployment rate)) (millions)</t>
  </si>
  <si>
    <t>Capital contribution</t>
  </si>
  <si>
    <t>CHECKS: CALCULATIONS COMPARED TO ACTUALS &amp; FORECASTS</t>
  </si>
  <si>
    <t>Core Crown Operating Balance</t>
  </si>
  <si>
    <r>
      <t xml:space="preserve">Total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</si>
  <si>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Core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</si>
  <si>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>plus</t>
    </r>
    <r>
      <rPr>
        <sz val="10"/>
        <rFont val="Times New Roman"/>
        <family val="1"/>
      </rPr>
      <t xml:space="preserve"> Elimination</t>
    </r>
  </si>
  <si>
    <t>NOTE B: OTHER NON-INVESTMENT INCOME</t>
  </si>
  <si>
    <t>Total Crown other non-investment income</t>
  </si>
  <si>
    <t>Core Crown other non-investment income</t>
  </si>
  <si>
    <t>NOTE C: INVESTMENT INCOME</t>
  </si>
  <si>
    <t>Gross earnings on fund assets</t>
  </si>
  <si>
    <t>Tax paid on earnings on fund assets</t>
  </si>
  <si>
    <t>GSF Pension Expense</t>
  </si>
  <si>
    <t>(Billions of $NZ)</t>
  </si>
  <si>
    <t>Education</t>
  </si>
  <si>
    <t>Other Core Crown holdings</t>
  </si>
  <si>
    <t>READY RECKONER (RR)</t>
  </si>
  <si>
    <t>Ready Reckoner match to forecast years</t>
  </si>
  <si>
    <t>Fiscal RR addition to investment income</t>
  </si>
  <si>
    <t>Fiscal RR addition to expenses ex finance costs, via operating allowance</t>
  </si>
  <si>
    <t>Fiscal RR annual addition to gross debt</t>
  </si>
  <si>
    <t>Fiscal RR addition to financial assets</t>
  </si>
  <si>
    <t>Fiscal RR addition to other assets, via capital allowance</t>
  </si>
  <si>
    <t>Fiscal RR addition to liabilities other than debt</t>
  </si>
  <si>
    <t>Forecast for future new spending</t>
  </si>
  <si>
    <t>Borrowings</t>
  </si>
  <si>
    <t>Retirement plan liabilities</t>
  </si>
  <si>
    <t>Total Sovereign-Guaranteed Debt</t>
  </si>
  <si>
    <t>Core Crown borrowings (includes DMO &amp; RB trade settlements)</t>
  </si>
  <si>
    <t>Net core Crown debt, where financial assets subtracted exclude those of NZS Fund</t>
  </si>
  <si>
    <t>Changes to DMO borrowing due to settlement cash</t>
  </si>
  <si>
    <t>Core Crown intangible assets and goodwill</t>
  </si>
  <si>
    <t>KiwiSaver subsidies</t>
  </si>
  <si>
    <t>Nominal value (including accrued interest)</t>
  </si>
  <si>
    <t>Opening book value</t>
  </si>
  <si>
    <t>Initial fair value write down on new borrowings</t>
  </si>
  <si>
    <t>Revenue</t>
  </si>
  <si>
    <t>Other expenses</t>
  </si>
  <si>
    <t>Tax expenses</t>
  </si>
  <si>
    <t>Gains/(losses)</t>
  </si>
  <si>
    <t>Other movements in reserves</t>
  </si>
  <si>
    <t>NOTE: Provisions</t>
  </si>
  <si>
    <t>Total Corporate Tax</t>
  </si>
  <si>
    <t>Total Other Income Tax</t>
  </si>
  <si>
    <t>Total Goods and Services Tax (GST)</t>
  </si>
  <si>
    <t>√</t>
  </si>
  <si>
    <t>FORECAST STATEMENT OF FINANCIAL PERFORMANCE</t>
  </si>
  <si>
    <t>Total Gains/(Losses) plus Net Surplus/(Deficit) from associates &amp; joint ventures</t>
  </si>
  <si>
    <t>FORECAST STATEMENT OF SEGMENTS - CORE CROWN DATA</t>
  </si>
  <si>
    <t>Interest revenue and dividends</t>
  </si>
  <si>
    <t>Total Gains/(losses)</t>
  </si>
  <si>
    <t>Gain/(loss) from discontinued operations</t>
  </si>
  <si>
    <t>CHECK: Total = Taxation Revenue in Financial Performance Statement</t>
  </si>
  <si>
    <t>CHECK: CC Operating Balance = Revenue - Expenses + Gains and Surpluses</t>
  </si>
  <si>
    <t>Other financial assets</t>
  </si>
  <si>
    <t>Property, plant &amp; equipment</t>
  </si>
  <si>
    <t>Equity accounted investments</t>
  </si>
  <si>
    <t>Other assets</t>
  </si>
  <si>
    <t>Total Core Crown Assets</t>
  </si>
  <si>
    <t>Total Core Crown Revenue excluding gains</t>
  </si>
  <si>
    <t>Other Liabilities</t>
  </si>
  <si>
    <t>Total Core Crown Liabilities</t>
  </si>
  <si>
    <t>CHECK: CC Net Worth = Assets - Liabilities</t>
  </si>
  <si>
    <t>Attributable to minority interest</t>
  </si>
  <si>
    <t>CHECK: Operating Balance = Revenue - Expenses + Gains and Surpluses</t>
  </si>
  <si>
    <t>Core Crown Expenses excluding losses</t>
  </si>
  <si>
    <t>FORECAST STATEMENT OF FINANCIAL POSITION</t>
  </si>
  <si>
    <t>CHECK: Net Worth = Total Assets - Total Liabilities</t>
  </si>
  <si>
    <t>FORECAST STATEMENT OF BORROWINGS</t>
  </si>
  <si>
    <t>NZS Fund holdings of sovereign-issued debt and NZS Fund borrowings</t>
  </si>
  <si>
    <t>CHECK: GSID ex RB cash = CC borrowings + NZSF debt - RB cash + Chgs DMO borrow</t>
  </si>
  <si>
    <t xml:space="preserve">Crown Entities </t>
  </si>
  <si>
    <t xml:space="preserve">State-owned Enterprises </t>
  </si>
  <si>
    <t>Inter-segment Eliminations</t>
  </si>
  <si>
    <t>CHECK: Total Crown - Core Crown = CE + SOE - Elimination</t>
  </si>
  <si>
    <t>NOTE D: SOCIAL SECURITY AND WELFARE</t>
  </si>
  <si>
    <t>Crown entity social welfare (mainly ACC related), including eliminations</t>
  </si>
  <si>
    <t>% allocated to Law and order</t>
  </si>
  <si>
    <t>% allocated to Defence</t>
  </si>
  <si>
    <t>NOTE D.1: NZS PARAMETERS</t>
  </si>
  <si>
    <t>NOTE H: FINANCE COSTS (INCLUDES NET EXCHANGE LOSSES/[GAINS])</t>
  </si>
  <si>
    <t>Denotes cell picked up from Data worksheet for Actual &amp; Forecast years</t>
  </si>
  <si>
    <t>Used in 'Other taxes' total</t>
  </si>
  <si>
    <t>Denotes this cell directly referenced by itself in main model</t>
  </si>
  <si>
    <t>TC means Total Crown, CC means Core Crown, CE means Crown Entity, SOE means State-owned Enterprise</t>
  </si>
  <si>
    <t>Used in TC 'Total Gains/(Losses) plus Net Surplus/(Deficit) from associates &amp; joint ventures' total</t>
  </si>
  <si>
    <t>Total Crown Operating Balance</t>
  </si>
  <si>
    <t>Used in CC 'Total Gains/(Losses) plus Net Surplus/(Deficit) from associates &amp; joint ventures' total</t>
  </si>
  <si>
    <t>CHECK:Net CC debt ex NZSF asset=CC borrow+NZSF debt-CC fin asset+NZSF fin asset</t>
  </si>
  <si>
    <r>
      <rPr>
        <i/>
        <sz val="10"/>
        <rFont val="Times New Roman"/>
        <family val="1"/>
      </rPr>
      <t xml:space="preserve">add back </t>
    </r>
    <r>
      <rPr>
        <sz val="10"/>
        <rFont val="Times New Roman"/>
        <family val="1"/>
      </rPr>
      <t>NZS Fund financial assets</t>
    </r>
  </si>
  <si>
    <t>Used in TC 'Other non-investment income' total</t>
  </si>
  <si>
    <t>Used in CC 'Other non-investment income' total</t>
  </si>
  <si>
    <t>Used in 'CE &amp; SOE investment income' total</t>
  </si>
  <si>
    <t>Only used as check to 'Tax' note below</t>
  </si>
  <si>
    <t>Only used as check to 'Interest Revenue and Dividends' note below</t>
  </si>
  <si>
    <t>DATA FROM NEW ZEALAND SUPERANNUATION MODEL</t>
  </si>
  <si>
    <t>Used in TC 'Other Expenses' total</t>
  </si>
  <si>
    <t>Only used in summation as identical to Core Crown value</t>
  </si>
  <si>
    <t>Used in CHECK in main model</t>
  </si>
  <si>
    <t>NOTE J: CASH AND CASH EQUIVALENTS AND RECEIVABLES</t>
  </si>
  <si>
    <t>Total Crown cash and cash equivalents</t>
  </si>
  <si>
    <t>UNPUBLISHED SEGMENT ACCOUNTS - CORE CROWN DATA</t>
  </si>
  <si>
    <t>CHECK: CC Other financial assets (Segments) = Mktble Sec + Share Invest + Advances</t>
  </si>
  <si>
    <t>NOTE K: MARKETABLE SECURITIES, DERIVATIVES &amp; SHARE INVESTMENTS</t>
  </si>
  <si>
    <t>NOTE: Interest revenue and Dividends</t>
  </si>
  <si>
    <t>NOTE: Financial assets by portfolio</t>
  </si>
  <si>
    <t>Other Crown Entities</t>
  </si>
  <si>
    <t>CHECK: Total = Cash+Recvbl+Mkt sec+Shares+Advs in Financial Position Statement</t>
  </si>
  <si>
    <r>
      <t>plus</t>
    </r>
    <r>
      <rPr>
        <sz val="10"/>
        <rFont val="Times New Roman"/>
        <family val="1"/>
      </rPr>
      <t xml:space="preserve"> Crown Entities marketable securities, derivatives in gain &amp; share investments</t>
    </r>
  </si>
  <si>
    <r>
      <t>plus</t>
    </r>
    <r>
      <rPr>
        <sz val="10"/>
        <rFont val="Times New Roman"/>
        <family val="1"/>
      </rPr>
      <t xml:space="preserve"> SOEs marketable securities, derivatives in gain &amp; share investments</t>
    </r>
  </si>
  <si>
    <t>Amount borrowed in the year</t>
  </si>
  <si>
    <t>Closing book value</t>
  </si>
  <si>
    <t>CHECK: Clos bk val = Op bk val+Borr- FV w-d -Repay+Int unwind-Impair+Oth mvt</t>
  </si>
  <si>
    <t>NOTE: New Zealand Superannuation Fund</t>
  </si>
  <si>
    <t>Closing net worth</t>
  </si>
  <si>
    <t>CHECK: Clos net wth = Op net wth +Rev -Oth exp -Tax +Gain/loss +Contrib +Oth mvt</t>
  </si>
  <si>
    <t>Eliminated NZS Fund expenses removed to calculate OBEGAL excl NZSF</t>
  </si>
  <si>
    <r>
      <t>plus</t>
    </r>
    <r>
      <rPr>
        <sz val="10"/>
        <rFont val="Times New Roman"/>
        <family val="1"/>
      </rPr>
      <t xml:space="preserve"> Revenue</t>
    </r>
  </si>
  <si>
    <r>
      <t>less</t>
    </r>
    <r>
      <rPr>
        <sz val="10"/>
        <rFont val="Times New Roman"/>
        <family val="1"/>
      </rPr>
      <t xml:space="preserve"> Tax expense</t>
    </r>
  </si>
  <si>
    <r>
      <t>less</t>
    </r>
    <r>
      <rPr>
        <sz val="10"/>
        <rFont val="Times New Roman"/>
        <family val="1"/>
      </rPr>
      <t xml:space="preserve"> Other expenses</t>
    </r>
  </si>
  <si>
    <r>
      <t>plus</t>
    </r>
    <r>
      <rPr>
        <sz val="10"/>
        <rFont val="Times New Roman"/>
        <family val="1"/>
      </rPr>
      <t xml:space="preserve"> Other movements in reserves</t>
    </r>
  </si>
  <si>
    <r>
      <t>plus</t>
    </r>
    <r>
      <rPr>
        <sz val="10"/>
        <rFont val="Times New Roman"/>
        <family val="1"/>
      </rPr>
      <t xml:space="preserve"> Gains/(losses)</t>
    </r>
  </si>
  <si>
    <t>NOTE L: NEW ZEALAND SUPERANNUATION FUND (NZSF)</t>
  </si>
  <si>
    <t>NOTE D.2: ACC PAYMENTS DEMOGRAPHIC DRIVER (USES COST WEIGHTS)</t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</si>
  <si>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Amount borrowed in the year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</si>
  <si>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Initial fair value write down on new borrowings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</si>
  <si>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Repayments made during the year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</si>
  <si>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Interest unwind</t>
    </r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</si>
  <si>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Impairment</t>
    </r>
  </si>
  <si>
    <r>
      <rPr>
        <i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Other movements</t>
    </r>
  </si>
  <si>
    <t>Other Core Crown investment income</t>
  </si>
  <si>
    <t>SOE &amp; CE investment income (including inter-segment eliminations)</t>
  </si>
  <si>
    <r>
      <t>plus</t>
    </r>
    <r>
      <rPr>
        <sz val="10"/>
        <rFont val="Times New Roman"/>
        <family val="1"/>
      </rPr>
      <t xml:space="preserve"> NZS Fund holdings of sovereign-issued debt and NZS Fund borrowings</t>
    </r>
  </si>
  <si>
    <t>Provision for ETS credits</t>
  </si>
  <si>
    <t>ETS revenue</t>
  </si>
  <si>
    <t>ETS expenses</t>
  </si>
  <si>
    <t>NOTE M: ADVANCES</t>
  </si>
  <si>
    <t>Student Loans</t>
  </si>
  <si>
    <t>Core Crown advances</t>
  </si>
  <si>
    <t>Revenue from Emission Trading Scheme</t>
  </si>
  <si>
    <t>Other Core Crown non-investment income</t>
  </si>
  <si>
    <t>Total Crown advances</t>
  </si>
  <si>
    <t>NZS Fund financial assets</t>
  </si>
  <si>
    <t>NOTE L.1: OTHER NZS FUND PARAMETERS</t>
  </si>
  <si>
    <t>NOTE O: PROPERTY, PLANT &amp; EQUIPMENT</t>
  </si>
  <si>
    <t>NOTE Q: OTHER NON-FINANCIAL ASSETS</t>
  </si>
  <si>
    <t>NOTE R: EMISSION TRADING SCHEME (ETS) &amp; KYOTO PROTOCOL</t>
  </si>
  <si>
    <t>Government Superannuation Fund</t>
  </si>
  <si>
    <t>Provisions for Kyoto &amp; ETS credits</t>
  </si>
  <si>
    <t>Other Core Crown non-debt liabilities</t>
  </si>
  <si>
    <t>NOTE: Insurance Liabilities</t>
  </si>
  <si>
    <t>ACC liability</t>
  </si>
  <si>
    <t>EQC liability</t>
  </si>
  <si>
    <t>Other insurance liabilities</t>
  </si>
  <si>
    <t>CHECK: ACC+EQC+Other ins liab =Insurance Liabilities in Fincl Position Statement</t>
  </si>
  <si>
    <r>
      <t>plus</t>
    </r>
    <r>
      <rPr>
        <sz val="10"/>
        <rFont val="Times New Roman"/>
        <family val="1"/>
      </rPr>
      <t xml:space="preserve"> Insurance liabilities (dominated by ACC)</t>
    </r>
  </si>
  <si>
    <r>
      <t>plus</t>
    </r>
    <r>
      <rPr>
        <sz val="10"/>
        <rFont val="Times New Roman"/>
        <family val="1"/>
      </rPr>
      <t xml:space="preserve"> Other Non-Core Crown non-debt liabilities</t>
    </r>
  </si>
  <si>
    <t>NOTE T: DEBT, INCLUDING THE GSID INDICATOR</t>
  </si>
  <si>
    <t>Total Non-Sovereign-Guaranteed Debt</t>
  </si>
  <si>
    <t>CHECK: Sov-Guar Debt + Non-Sov-Guar Debt = Borrowings in Fncl Position Statement</t>
  </si>
  <si>
    <t>NOTE T.1: RB SETTLEMENT CASH EXCLUDED FROM GSID</t>
  </si>
  <si>
    <t>Taxation Revenue</t>
  </si>
  <si>
    <t>Liabilities excluding Total Borrowings</t>
  </si>
  <si>
    <t>Core Crown Borrowings</t>
  </si>
  <si>
    <t>Liabilities excluding Core Crown Borrowings</t>
  </si>
  <si>
    <t>Net Core Crown debt (excluding NZS Fund)</t>
  </si>
  <si>
    <t>Taxation Revenue to GDP (Total Crown)</t>
  </si>
  <si>
    <t>Taxation Revenue to GDP (Core Crown)</t>
  </si>
  <si>
    <t>Total Assets</t>
  </si>
  <si>
    <t>Total Borrowings (Gross Debt) to GDP (Total Crown)</t>
  </si>
  <si>
    <t>Total Borrowings (Gross Debt)</t>
  </si>
  <si>
    <t>Liabilities excluding Total Borrowings to GDP (Total Crown)</t>
  </si>
  <si>
    <t>Total Net Worth to GDP (Total Crown)</t>
  </si>
  <si>
    <t>Core Crown Borrowings to GDP (Core Crown)</t>
  </si>
  <si>
    <t>Liabilities excluding Core Crown Borrowings to GDP (Core Crown)</t>
  </si>
  <si>
    <t>Total Net Worth to GDP (Core Crown)</t>
  </si>
  <si>
    <t>Core Crown financial assets excluding receivables excluded from Net Debt measure</t>
  </si>
  <si>
    <r>
      <t>less</t>
    </r>
    <r>
      <rPr>
        <sz val="10"/>
        <rFont val="Times New Roman"/>
        <family val="1"/>
      </rPr>
      <t xml:space="preserve"> DMO &amp; RBNZ Trade Settlements incl. in GSID</t>
    </r>
  </si>
  <si>
    <t>Non-tax expenses of NZS Fund after elimination</t>
  </si>
  <si>
    <t>Not actually referenced at all, as calculated in model and check uses operating balance</t>
  </si>
  <si>
    <t>Gross December quarter average wage ($ per week)</t>
  </si>
  <si>
    <t>All monetary values, unless otherwise stated, are in units of billions of $NZ</t>
  </si>
  <si>
    <t>Net (of tax) December quarter average wage ($ per week)</t>
  </si>
  <si>
    <t>Net NZS married individual ($ per week)</t>
  </si>
  <si>
    <t>Used in TC 'Marketable securities, derivatives in gain and share investments' total</t>
  </si>
  <si>
    <t>Used in TC 'Non-financial assets excluding property, plant and equipment' total</t>
  </si>
  <si>
    <t>Used in TC 'Other Non-Core Crown non-debt liabilities' total</t>
  </si>
  <si>
    <t>Only used as check to 'Forecast Statement of Borrowings' below</t>
  </si>
  <si>
    <t>Used in CHECK in main model and in this 'Forecast Statement of Financial Position'</t>
  </si>
  <si>
    <t>Used in calculation of 'Core Crown financial assets excluding receivables excluded from Net Debt measure'</t>
  </si>
  <si>
    <t>Used in CHECK in main model and in this 'Forecast Statement of Borrowings'</t>
  </si>
  <si>
    <t>Used in calculation of 'NOTE T.1: RB SETTLEMENT CASH EXCLUDED FROM GSID'</t>
  </si>
  <si>
    <t>Only used as check in this 'Forecast Statement of Borrowings'</t>
  </si>
  <si>
    <t>Used in calculation of 'Core Crown marketable securities, derivatives in gain and share investments'</t>
  </si>
  <si>
    <t>Used in 'Core Crown Core Crown other assets including top-down capital adjustment' total</t>
  </si>
  <si>
    <t>Used in calculation of 'DMO &amp; RBNZ Trade Settlements incl. in GSID'</t>
  </si>
  <si>
    <t>Used in calculation of 'Other Core Crown non-debt liabilities'</t>
  </si>
  <si>
    <t>Used in CHECK in main model and in this 'Forecast Statement of Segments'</t>
  </si>
  <si>
    <t>Used in calculation of all components of CC 'Marketable securities, derivatives in gain and share investments'</t>
  </si>
  <si>
    <t>Used in calculation of all components of TC 'Marketable securities, derivatives in gain and share investments'</t>
  </si>
  <si>
    <t>Only used as check on next row</t>
  </si>
  <si>
    <t xml:space="preserve">First year used to start in model but otherwise just used as check to closing book value below </t>
  </si>
  <si>
    <t xml:space="preserve">First year used to start in model but otherwise just used as check to closing net worth below </t>
  </si>
  <si>
    <t>Used in 'Insurance liabilities (dominated by ACC)' total</t>
  </si>
  <si>
    <t>Only used in check on next row</t>
  </si>
  <si>
    <t>Used directly for GSF liability and in TC 'Other Non-Core Crown non-debt liabilities' total</t>
  </si>
  <si>
    <t>CHECK: Provision for ETS credits = Cumulative sum of (ETS expenses - ETS revenue)</t>
  </si>
  <si>
    <t>Only used as check on 'Other financial assets' in 'Forecast Statement of Segments'</t>
  </si>
  <si>
    <t>Government 5-year Bond Rate</t>
  </si>
  <si>
    <t>Average Weekly Hours Worked</t>
  </si>
  <si>
    <t>Additions to source deductions tax revenue</t>
  </si>
  <si>
    <t>Additions to corporate tax revenue</t>
  </si>
  <si>
    <t>Fiscal RR addition to tax revenue via source deductions</t>
  </si>
  <si>
    <t>Fiscal RR addition to tax revenue via corporate tax</t>
  </si>
  <si>
    <t>Fiscal RR addition to operating balance</t>
  </si>
  <si>
    <t>Fiscal RR annual addition to gross debt excluding finance costs</t>
  </si>
  <si>
    <t>Fiscal RR total addition to gross debt</t>
  </si>
  <si>
    <t>Economic RR addition to operating balance</t>
  </si>
  <si>
    <t>NZS Fund addition to investment income</t>
  </si>
  <si>
    <t>NZS Fund addition to total gains/(losses)</t>
  </si>
  <si>
    <t>NZS Fund addition to operating balance</t>
  </si>
  <si>
    <t>NZS Fund addition to gross debt</t>
  </si>
  <si>
    <t>NZS Fund addition to net worth</t>
  </si>
  <si>
    <t>Fiscal RR addition to expenses ex finance costs via New Zealand Superannuation</t>
  </si>
  <si>
    <t>Fiscal RR addition to expenses ex finance costs via other social welfare</t>
  </si>
  <si>
    <t>NZS Fund RR</t>
  </si>
  <si>
    <t>As the operating allowance is cumulative, additions to any year apply to future years too.</t>
  </si>
  <si>
    <t>NEW ZEALAND SUPERANNUATION FUND READY RECKONER</t>
  </si>
  <si>
    <t>ALTERNATIVE NZS FUND TRACK</t>
  </si>
  <si>
    <t>NZS Fund addition to tax (only affects Fund balance, as eliminated from tax)</t>
  </si>
  <si>
    <t>NZSF addn to contributions (only affects Fund balance, as total asset impacts debt)</t>
  </si>
  <si>
    <t>NZS Fund addition to financial assets</t>
  </si>
  <si>
    <t>NZS Fund addition to non-financial assets</t>
  </si>
  <si>
    <t>Fiscal RR total addition to net debt (excluding NZS Fund financial assets)</t>
  </si>
  <si>
    <t>NZS Fund addition to net debt (excluding NZS Fund financial assets)</t>
  </si>
  <si>
    <t>NZSF addn to other movements in reserves (only affects Fund balance - see above)</t>
  </si>
  <si>
    <t>NZS Fund annual addition to gross debt excluding finance costs</t>
  </si>
  <si>
    <t>NZS Fund annual addition to gross debt</t>
  </si>
  <si>
    <t>Government 5-year Bond Rate (4-quarter average)</t>
  </si>
  <si>
    <t>Enter alternative economic forecasts, in $ billions as in the "Data" worksheet.</t>
  </si>
  <si>
    <t>Original economic forecasts, picked up by formula from "Data" worksheet.</t>
  </si>
  <si>
    <t>Change in 5-year Bond rate in % points</t>
  </si>
  <si>
    <t>New Zealand Debt Management Office (NZ DMO)</t>
  </si>
  <si>
    <t>Reserve Bank</t>
  </si>
  <si>
    <t>Core Crown intra-segment eliminations</t>
  </si>
  <si>
    <t>Crown Entities intra-segment eliminations</t>
  </si>
  <si>
    <t>Inter-segment eliminations</t>
  </si>
  <si>
    <t>New Zealand  Debt Management Office (DMO)</t>
  </si>
  <si>
    <t>Reserve Bank liquidity management</t>
  </si>
  <si>
    <t>Gross sovereign-issued debt excluding Reserve Bank liquidity management</t>
  </si>
  <si>
    <t>Economic base</t>
  </si>
  <si>
    <t>To get new economic base from "ReadyReckoner",</t>
  </si>
  <si>
    <t>Additions to gross NZ Superannuation expenditure</t>
  </si>
  <si>
    <t>Enter alternative net wage &amp; NZS parameters, in $ p.w., as in the "Data" worksheet.</t>
  </si>
  <si>
    <t>Net NZS for married individual</t>
  </si>
  <si>
    <t>Original net wage &amp; NZS parameters, picked up by formula from "Data" worksheet.</t>
  </si>
  <si>
    <t>ratio of GDP annual % growth, scenario to base</t>
  </si>
  <si>
    <t>cumulative ratio of GDP annual % growth</t>
  </si>
  <si>
    <t>ratio of 5-year Bond rate, scenario to base</t>
  </si>
  <si>
    <t>ratio of CPI annual % growth, scenario to base</t>
  </si>
  <si>
    <t>cumulative ratio of CPI annual % growth</t>
  </si>
  <si>
    <t>cumulative ratio of average wage annual % growth</t>
  </si>
  <si>
    <t>Fiscal RR addition to finance costs from non-finance cost addition to debt</t>
  </si>
  <si>
    <t>Fiscal RR addition to finance costs from finance cost addition to debt</t>
  </si>
  <si>
    <t>Fiscal RR addition to finance costs from previous year additions to debt</t>
  </si>
  <si>
    <t>Economic RR addition to finance costs from non-finance cost addition to debt</t>
  </si>
  <si>
    <t>Economic RR addition to finance costs from finance cost addition to debt</t>
  </si>
  <si>
    <t>Economic RR addition to finance costs from previous year additions to debt</t>
  </si>
  <si>
    <t>NZS Fund addition to finance costs from non-finance cost addn to debt</t>
  </si>
  <si>
    <t>NZS Fund addition to finance costs from finance cost addition to debt</t>
  </si>
  <si>
    <t>NZS Fund addition to finance costs from previous years addition to debt</t>
  </si>
  <si>
    <t>Economic RR annual addition to gross debt excluding finance costs</t>
  </si>
  <si>
    <t>Economic RR total addition to gross debt</t>
  </si>
  <si>
    <t>Economic RR total addition to net debt (excluding NZS Fund financial assets)</t>
  </si>
  <si>
    <t>Economic RR addition to net worth</t>
  </si>
  <si>
    <t>ratio of labour productivity growth, scenario to base</t>
  </si>
  <si>
    <t>cumulative ratio of lab productivity ann % growth</t>
  </si>
  <si>
    <t>ratio of avg wage ann % growth, scenario to base</t>
  </si>
  <si>
    <t>Write no. of years since 2005/06 for last historical fiscal year, e.g. 3 for 2008/09</t>
  </si>
  <si>
    <t>Net core Crown debt, where financial assets subtracted exclude NZS Fund &amp; Advances</t>
  </si>
  <si>
    <t>Net core Crown debt, before exclusions</t>
  </si>
  <si>
    <r>
      <rPr>
        <i/>
        <sz val="10"/>
        <rFont val="Times New Roman"/>
        <family val="1"/>
      </rPr>
      <t>less</t>
    </r>
    <r>
      <rPr>
        <sz val="10"/>
        <rFont val="Times New Roman"/>
        <family val="1"/>
      </rPr>
      <t xml:space="preserve"> Core Crown financial assets</t>
    </r>
  </si>
  <si>
    <t>Total Labour Force (in millions)</t>
  </si>
  <si>
    <t>Not actually referenced at all, but possibly useful for comparisons with this variable in history</t>
  </si>
  <si>
    <t>OBEGAL (Operating Balance before Gains and Losses) to GDP (Core Crown)</t>
  </si>
  <si>
    <t>the Inland Revenue Department (Working for Families).</t>
  </si>
  <si>
    <t>Fiscal drag elasticity on source deductions</t>
  </si>
  <si>
    <t>Elasticity of 1.35 applied to nominal wage growth driver</t>
  </si>
  <si>
    <t>Total Male (in millions)</t>
  </si>
  <si>
    <t>Total Female (in millions)</t>
  </si>
  <si>
    <t>Labour Force Assumptions (2009 Base)</t>
  </si>
  <si>
    <t>Cost per head averaged across fiscal years 2004/05 to 2008/09</t>
  </si>
  <si>
    <t>Working age population (HLFS 15+ popn) (millions)</t>
  </si>
  <si>
    <t>Based on data from the Accident Compensation Corporation. Cost weights averaged over 2004/05 to 2008/09.</t>
  </si>
  <si>
    <t>Primary Balance to GDP (OBEGAL excluding investment income &amp; finance costs) (Core Crown)</t>
  </si>
  <si>
    <t>Net Core Crown Debt (excluding NZS Fund and advances) to GDP (Core Crown)</t>
  </si>
  <si>
    <t>Primary Balance (OBEGAL excluding investment income &amp; finance costs)</t>
  </si>
  <si>
    <t>Economic RR addition to finance costs from interest rate changes</t>
  </si>
  <si>
    <t>Additions to KiwiSaver expenditure</t>
  </si>
  <si>
    <t>Additions to Unemployment Benefit expenditure</t>
  </si>
  <si>
    <t>Fiscal RR addition to expenses ex finance costs via KiwiSaver expenses</t>
  </si>
  <si>
    <t>Fiscal RR addition to expenses ex finance costs via Unemployment Benefit</t>
  </si>
  <si>
    <t>NOTE: Core Crown Advances</t>
  </si>
  <si>
    <t>Advances to NZS Fund (difference between Total &amp; those excluded in Net Debt)</t>
  </si>
  <si>
    <r>
      <rPr>
        <i/>
        <sz val="10"/>
        <rFont val="Times New Roman"/>
        <family val="1"/>
      </rPr>
      <t xml:space="preserve">add back </t>
    </r>
    <r>
      <rPr>
        <sz val="10"/>
        <rFont val="Times New Roman"/>
        <family val="1"/>
      </rPr>
      <t>Advances excluding those of the NZS Fund</t>
    </r>
  </si>
  <si>
    <t>Core Crown advances other than Student Loans and those to NZS Fund</t>
  </si>
  <si>
    <t>Advances to NZS Fund</t>
  </si>
  <si>
    <t>Additions to "Other" expenditure</t>
  </si>
  <si>
    <t>Fiscal RR addition to expenses ex finance costs via "Other" expenses</t>
  </si>
  <si>
    <t>2019/20</t>
  </si>
  <si>
    <t>GSF Net Pension Liability (calculated)</t>
  </si>
  <si>
    <t>Fiscal RR addition to non-Core Crown investment income</t>
  </si>
  <si>
    <t>Net surplus/(deficit) from associates &amp; joint ventures + Gain/(loss) from discontinued ops.</t>
  </si>
  <si>
    <t>Fiscal RR addition to expenses ex finance costs via Health expenses</t>
  </si>
  <si>
    <t>Use extended track of real GDP until this year</t>
  </si>
  <si>
    <t>Post-forecast projection overwrites</t>
  </si>
  <si>
    <t>CAPITAL ALLOWANCE PROFILE</t>
  </si>
  <si>
    <t>Budget 2014</t>
  </si>
  <si>
    <t>Budget 2015</t>
  </si>
  <si>
    <t>Budget 2016</t>
  </si>
  <si>
    <t>Budget 2017</t>
  </si>
  <si>
    <t>Budget 2018</t>
  </si>
  <si>
    <t>Budget 2019</t>
  </si>
  <si>
    <t>TOTAL CAPITAL ALLOWANCE ANNUAL INCREMENT</t>
  </si>
  <si>
    <t>PROJECTED</t>
  </si>
  <si>
    <t>TARGET</t>
  </si>
  <si>
    <t>You can overwrite either of these options by putting in an annual growth rate, such as 2 for 2 per cent.</t>
  </si>
  <si>
    <t>Contingency</t>
  </si>
  <si>
    <t>Operating Provision (initiatives, cost rises) in 1st projected year</t>
  </si>
  <si>
    <t>Capital Provision in first projected year</t>
  </si>
  <si>
    <t>Family tax credit</t>
  </si>
  <si>
    <t>Student allowances</t>
  </si>
  <si>
    <t>% allocated to Economic and Industrial services</t>
  </si>
  <si>
    <t>% allocated to Heritage, culture and recreation</t>
  </si>
  <si>
    <t>% allocated to Core Government services</t>
  </si>
  <si>
    <t>% allocated to non-transfer Welfare expenditure</t>
  </si>
  <si>
    <t>PERSONAL TAX PARAMETERS</t>
  </si>
  <si>
    <t xml:space="preserve">First personal income tax threshold </t>
  </si>
  <si>
    <t xml:space="preserve">Second personal income tax threshold </t>
  </si>
  <si>
    <t xml:space="preserve">Third personal income tax threshold </t>
  </si>
  <si>
    <t>First personal income tax rate</t>
  </si>
  <si>
    <t xml:space="preserve">Second personal income tax rate </t>
  </si>
  <si>
    <t>Third personal income tax rate</t>
  </si>
  <si>
    <t>Fourth personal income tax rate</t>
  </si>
  <si>
    <t>ACC earner levy</t>
  </si>
  <si>
    <t>Core Crown other assets</t>
  </si>
  <si>
    <t>NOTE: Operating Allowances for New Spending</t>
  </si>
  <si>
    <t>Unallocated new spending from Current Budget</t>
  </si>
  <si>
    <t>Forecast new spending for next Budget</t>
  </si>
  <si>
    <t>Forecast new spending for Budget in two years</t>
  </si>
  <si>
    <t>Forecast new spending for Budget in three years</t>
  </si>
  <si>
    <t>Forecast new spending for Budget in four years</t>
  </si>
  <si>
    <t>CHECK: Future new capital spending = New spending for 5 Budgets &amp; from Bal. sheet</t>
  </si>
  <si>
    <t>NOTE: Capital Allowances for New Spending</t>
  </si>
  <si>
    <t>Additions to other assets via property, plant &amp; equipment</t>
  </si>
  <si>
    <t>Aggregate Net New Zealand Superannuation</t>
  </si>
  <si>
    <t>Net (of Tax) NZ Superannuation expenditure</t>
  </si>
  <si>
    <t>Additions to net (of tax) NZ Superannuation expenditure</t>
  </si>
  <si>
    <t>When fiscal drag is chosen, apply it until this fiscal year</t>
  </si>
  <si>
    <t>Use capital allowances from track until this fiscal year</t>
  </si>
  <si>
    <t>Budget 2020</t>
  </si>
  <si>
    <t>Target % of Nominal GDP for source deductions</t>
  </si>
  <si>
    <t>Use targeted source deductions tax-to-GDP ratio in projections?</t>
  </si>
  <si>
    <t>Gross NZS for married individual (CPI-indexed 1 April)</t>
  </si>
  <si>
    <t>Gross NZS married individual ($ per week)</t>
  </si>
  <si>
    <t>HEALTH COST WEIGHTS IN THE LONG TERM FISCAL MODEL (2009/10 $)</t>
  </si>
  <si>
    <t>2010 cost weights supplied by Ministry of Health.</t>
  </si>
  <si>
    <t>Forecast new spending for Budget in five years</t>
  </si>
  <si>
    <t>CHECK: Future new operating spending = New spending for current &amp; next 4 Budgets</t>
  </si>
  <si>
    <t>If long-term target tax-to-GDP ratios are selected, choose an increment to reach these from end-of-forecast values.</t>
  </si>
  <si>
    <t>Also choose long-term, stable tax-to-GDP ratios for the three tax types in the model.</t>
  </si>
  <si>
    <t>For source deductions, if fiscal drag is selected above, a GDP ratio and transition to it only apply after fiscal drag modelling stops.</t>
  </si>
  <si>
    <t>OBEGAL minority interests</t>
  </si>
  <si>
    <t>Transport-hypothecated taxes (RUC, MV fees and all petrol excise)</t>
  </si>
  <si>
    <t>Additions to transport hypothecated taxes</t>
  </si>
  <si>
    <t>Additions to other non-Transport tax revenue</t>
  </si>
  <si>
    <t>Fiscal RR addition to tax revenue via transport-hypothecated taxes</t>
  </si>
  <si>
    <t>Fiscal RR addition to tax revenue via other non-Transport taxes</t>
  </si>
  <si>
    <t>Fiscal RR addition to expenses ex finance costs via Domestic Purposes Benefit</t>
  </si>
  <si>
    <t>Additions to Domestic Purposes Benefit expenditure</t>
  </si>
  <si>
    <t>Additions to Invalid's Benefit expenditure</t>
  </si>
  <si>
    <t>Additions to Sickness Benefit expenditure</t>
  </si>
  <si>
    <t>Fiscal RR addition to expenses ex finance costs via Sickness Benefit</t>
  </si>
  <si>
    <t>Fiscal RR addition to expenses ex fin costs via Invalid's Benefit</t>
  </si>
  <si>
    <t>Family Tax Credit</t>
  </si>
  <si>
    <t>Additions to Family Tax Credit expenses</t>
  </si>
  <si>
    <t>Fiscal RR addition to expenses ex fin costs via Family Tax Credits</t>
  </si>
  <si>
    <t xml:space="preserve">Departmental &amp; non-departmental expenses </t>
  </si>
  <si>
    <t>Tertiary student allowances</t>
  </si>
  <si>
    <t>Student loan write-offs</t>
  </si>
  <si>
    <t>Other education expenses</t>
  </si>
  <si>
    <t xml:space="preserve">NOTE E: GSF (Government Superannuation Fund) PENSION EXPENSES </t>
  </si>
  <si>
    <t>Core Crown GSF expenses</t>
  </si>
  <si>
    <t>Total Crown GSF expenses</t>
  </si>
  <si>
    <t>NOTE F: HEALTH</t>
  </si>
  <si>
    <t>NOTE F.1: HEALTH MALE DEMOGRAPHICS (USES COST WEIGHTS)</t>
  </si>
  <si>
    <t>NOTE F.2: HEALTH FEMALE DEMOGRAPHICS (USES COST WEIGHTS)</t>
  </si>
  <si>
    <t>2020/21</t>
  </si>
  <si>
    <t>NOTE G: EDUCATION</t>
  </si>
  <si>
    <t>NOTE H: TRANSPORT &amp; COMMUNICATIONS</t>
  </si>
  <si>
    <t>Core Crown transport and communications expenditure</t>
  </si>
  <si>
    <t>Total Crown transport and communications expenditure</t>
  </si>
  <si>
    <t>NOTE I: ECONOMIC &amp; INDUSTRIAL SERVICES</t>
  </si>
  <si>
    <t>Other economic &amp; industrial services expenses</t>
  </si>
  <si>
    <t>Core Crown economic and industrial services expenditure</t>
  </si>
  <si>
    <t>Total Crown economic and industrial services expenditure</t>
  </si>
  <si>
    <t>Emissions Trading Scheme expenses</t>
  </si>
  <si>
    <t>NOTE K: OTHER EXPENDITURE</t>
  </si>
  <si>
    <t>Core Government Services</t>
  </si>
  <si>
    <t>Primary Services</t>
  </si>
  <si>
    <t>% allocated to Primary Services</t>
  </si>
  <si>
    <t>Non-transport Other Indirect Taxation</t>
  </si>
  <si>
    <t>Direct addition to gross debt</t>
  </si>
  <si>
    <t>Fiscal RR direct annual addition to gross debt</t>
  </si>
  <si>
    <t>HLFS working age population (000's)</t>
  </si>
  <si>
    <t>HLFS aggregate labour force (000's)</t>
  </si>
  <si>
    <t>HLFS aggregate labour force participation rate</t>
  </si>
  <si>
    <t>80 and above</t>
  </si>
  <si>
    <t>HLFS working age population projected from this year onwards using 2009 NPP growth rates</t>
  </si>
  <si>
    <t>NZS Fund addition to expenses (only affects Fund balance, as not separate item in CC exps)</t>
  </si>
  <si>
    <t>Apply extra debt changes until this fiscal year</t>
  </si>
  <si>
    <t>EXTERNAL CORE CROWN GROSS DEBT CHANGE</t>
  </si>
  <si>
    <t>Growth Rate of External Debt Change over period</t>
  </si>
  <si>
    <t>Initial amount of extra debt changes in $ billion</t>
  </si>
  <si>
    <t>The residual of the modelling is core Crown Gross Debt. To introduce annual debt changes outside of this calculation, use Yes.</t>
  </si>
  <si>
    <t>Also select a starting and ending projected year for the period of extra changes to debt, the initial amount of the debt change and</t>
  </si>
  <si>
    <t>its percentage growth rate over the period. These choices are immaterial if Yes is not selected to trigger extra changes to debt.</t>
  </si>
  <si>
    <t>Use extra core Crown gross debt changes beyond the calculation</t>
  </si>
  <si>
    <t>First projected fiscal year where extra debt changes are used</t>
  </si>
  <si>
    <t>HLFS Working Age Population (as at 30 June)</t>
  </si>
  <si>
    <t>Aggregate Labour Force</t>
  </si>
  <si>
    <t>Projected using growth rates of Statistics New Zealand's 2009-base aggregate Labour Force projections.</t>
  </si>
  <si>
    <t>Used in 'CC Housing &amp; Community Development, Other &amp; Top-down expense adjustment' total</t>
  </si>
  <si>
    <t>Only used as check to summation of components in Note on 'Capital allowances for New Spending' below</t>
  </si>
  <si>
    <t>Only used as check on 'Forecast new operating spending' from 'Forecast Statement of Financial Performance'</t>
  </si>
  <si>
    <t>Used in 'Forecast New Capital Spending' total</t>
  </si>
  <si>
    <t>Demographic Assumptions (2011 Base)</t>
  </si>
  <si>
    <t xml:space="preserve">Medium Fertility, Medium Mortality, and Long Term Annual Net Migration of 12,000 </t>
  </si>
  <si>
    <t>National Labour Force Projections (NLFP)- 2006 base, updated in late August 2012</t>
  </si>
  <si>
    <t>Demographic Forecasts/Projections</t>
  </si>
  <si>
    <t>Labour Force Forecasts</t>
  </si>
  <si>
    <t>Labour Force Projections</t>
  </si>
  <si>
    <t>In post-forecast projected years, aggregate labour force grows at rate of Labour Force projections</t>
  </si>
  <si>
    <t>Projections out to 2061 produced by Statistics New Zealand. Projection produced in July 2012.</t>
  </si>
  <si>
    <t>Updated for historical years between 2006 Census base &amp; 2011 with Statistics New Zealand updates.</t>
  </si>
  <si>
    <t>produced by Statistics New Zealand. Projection goes out to 2061 and was produced in August 2012.</t>
  </si>
  <si>
    <t>CPI (June quarter)</t>
  </si>
  <si>
    <t>Labour force (annual average)</t>
  </si>
  <si>
    <t>Working-age Population (annual average)</t>
  </si>
  <si>
    <t>Unemployment  rate (annual average)</t>
  </si>
  <si>
    <t>Average wkly hours (annual average of total hrs work ÷ total employed)</t>
  </si>
  <si>
    <t>Labour productivity growth  (annual average)</t>
  </si>
  <si>
    <t>Average hourly wage growth (ordinary time) (annual average)</t>
  </si>
  <si>
    <t>Government 5-year Bond Rate (annual average)</t>
  </si>
  <si>
    <t>Up to, and inclusive of, 2011/12</t>
  </si>
  <si>
    <t>2012/13 to 2016/17 inclusive</t>
  </si>
  <si>
    <t xml:space="preserve">$0.936 billion. This is equivalent to $0.900 billion, set for the five Budgets 2012 to 2016 inclusive, growing at 2% per year </t>
  </si>
  <si>
    <t>Additions to Accommodation Assistance expenses</t>
  </si>
  <si>
    <t>Fiscal RR addition to expenses ex fin costs via Accommodation Assistance</t>
  </si>
  <si>
    <t>Additions to Student Allowances</t>
  </si>
  <si>
    <t>Additions to other Education expenditure</t>
  </si>
  <si>
    <t>Additions to Health expenditure</t>
  </si>
  <si>
    <t>Additions to other Social Welfare expenditure</t>
  </si>
  <si>
    <t>2021/22</t>
  </si>
  <si>
    <t>Fiscal RR addition to expenses ex finance costs via Student Allowances expenses</t>
  </si>
  <si>
    <t>Fiscal RR addition to expenses ex finance costs via other Education expenses</t>
  </si>
  <si>
    <t>Income Related Rents</t>
  </si>
  <si>
    <t>Additions to Disability Assistance expenses</t>
  </si>
  <si>
    <t>Fiscal RR addition to expenses ex fin costs via Disability Assistance</t>
  </si>
  <si>
    <t>NOTE I: OPERATING ALLOWANCE INCREMENTS &amp; TOP-DOWN ADJUSTMENTS</t>
  </si>
  <si>
    <t>Forecast New Operating Spending &amp; T-D Adj (indicates Allowance, whether allocated or not)</t>
  </si>
  <si>
    <t>Housing &amp; Community Development and Other</t>
  </si>
  <si>
    <t>NOTE P: CAPITAL ALLOWANCE INCREMENTS &amp; TOP-DOWN ADJUSTMENTS</t>
  </si>
  <si>
    <t>Forecast New Capital Spending &amp; T-D Adj (indicates Allowance, whether allocated or not)</t>
  </si>
  <si>
    <t>Core Crown property, plant &amp; equipment (includes Transport capital growth)</t>
  </si>
  <si>
    <t>Total Crown property, plant &amp; equipment</t>
  </si>
  <si>
    <t>Budget 2021</t>
  </si>
  <si>
    <t>2022/23</t>
  </si>
  <si>
    <t>2023/24</t>
  </si>
  <si>
    <t>2024/25</t>
  </si>
  <si>
    <t>2025/26</t>
  </si>
  <si>
    <t>2026/27</t>
  </si>
  <si>
    <t>Environmental protection</t>
  </si>
  <si>
    <t>NOTE J: ENVIRONMENTAL PROTECTION EXPENSES</t>
  </si>
  <si>
    <t>Heritage, culture &amp; recreation expenditure</t>
  </si>
  <si>
    <t>Core Crown environmental protection expenditure</t>
  </si>
  <si>
    <t>Total Crown environmental protection expenditure</t>
  </si>
  <si>
    <t>Other environmental protection expenses</t>
  </si>
  <si>
    <t>Gross NZS for married individual</t>
  </si>
  <si>
    <t>Fiscal RR addition to expenses ex fin costs via Income Related Rents</t>
  </si>
  <si>
    <t>Additions to Income Related Rents expenses</t>
  </si>
  <si>
    <t>% allocated to Environmental Protection</t>
  </si>
  <si>
    <t>the Housing, Community Development  and Other category. If allocation is not selected, the choice of the allocation %'s is immaterial.</t>
  </si>
  <si>
    <t xml:space="preserve">GST (Goods &amp; Services Tax) </t>
  </si>
  <si>
    <t>Additions to GST tax revenue</t>
  </si>
  <si>
    <t>Fiscal RR addition to tax revenue via GST</t>
  </si>
  <si>
    <t>Use targeted GST-to-GDP ratio in projections?</t>
  </si>
  <si>
    <t>Target % of Nominal GDP for GST</t>
  </si>
  <si>
    <t>Budget Economic &amp; Fiscal Update (BEFU) 2013: ECONOMIC AND FISCAL DATA</t>
  </si>
  <si>
    <t>Target % of Nominal GDP for Transport-hypothecated taxes</t>
  </si>
  <si>
    <t>Use targeted Transport taxes-to-GDP ratio in projections?</t>
  </si>
  <si>
    <t>Additions to non-Core Crown other sovereign revenue</t>
  </si>
  <si>
    <t>Fiscal RR addition to non-Core Crown other sovereign income</t>
  </si>
  <si>
    <t>Additions to non-Core Crown fin. assets (if Crown debt funded)</t>
  </si>
  <si>
    <t>Additions to non-Core Crown fin. assets (not debt funded)</t>
  </si>
  <si>
    <t>Total RR addition to Total Crown operating balance</t>
  </si>
  <si>
    <t>Total RR addition to Total Crown gross debt</t>
  </si>
  <si>
    <t>Total RR addition to Total Crown net worth</t>
  </si>
  <si>
    <t>Total RR addition to core Crown net debt (excluding NZS Fund financial assets)</t>
  </si>
  <si>
    <t>Fiscal RR addition to non-Core Crown financial assets (debt-funded)</t>
  </si>
  <si>
    <t>Fiscal RR addition to non-Core Crown financial assets (revenue-funded)</t>
  </si>
  <si>
    <t>Unemployment Benefit, Domestic Purposes Benefit, Sickness Benefit &amp; Invalid's Benefit</t>
  </si>
  <si>
    <t>Jobseeker Support</t>
  </si>
  <si>
    <t>Sole Parent Support</t>
  </si>
  <si>
    <t>Supported Living Payment</t>
  </si>
  <si>
    <t>Additions to Jobseeker Support</t>
  </si>
  <si>
    <t>Additions to Sole Parent Support</t>
  </si>
  <si>
    <t>Additions to Supported Living Payment</t>
  </si>
  <si>
    <t>Fiscal RR addition to expenses ex finance costs via Jobseeker Support</t>
  </si>
  <si>
    <t>Fiscal RR addition to expenses ex finance costs via Sole Parent Support</t>
  </si>
  <si>
    <t>Fiscal RR addition to expenses ex finance costs via Supported Living Payment</t>
  </si>
  <si>
    <t>16, 17, 18 &amp; 19</t>
  </si>
  <si>
    <t>Age group percentages of population</t>
  </si>
  <si>
    <t>Support</t>
  </si>
  <si>
    <t>Sole Parent</t>
  </si>
  <si>
    <t>Payment</t>
  </si>
  <si>
    <t>Supported Living</t>
  </si>
  <si>
    <t>Jobseeker</t>
  </si>
  <si>
    <t>Domestic purposes, Unemployment, Invalid's &amp; Sickness benefit</t>
  </si>
  <si>
    <t>Jobseeker Support (and Emergency) Benefit</t>
  </si>
  <si>
    <t>Other working for families tax credits</t>
  </si>
  <si>
    <t>Accommodation Assistance</t>
  </si>
  <si>
    <t>Disability Assistance</t>
  </si>
  <si>
    <t>Other social assistance benefits</t>
  </si>
  <si>
    <t>Unallocated capital spending from both Budget 13</t>
  </si>
  <si>
    <t>Effective rate on core Crown gross debt</t>
  </si>
  <si>
    <t>Effective rate on total Crown borrowings</t>
  </si>
  <si>
    <t>Effective Govt. Bond Rate on debt stabilises in this year</t>
  </si>
  <si>
    <t>It is possible that the residual nature of the modelling could produce negative core Crown Gross Debt. To prevent this a default</t>
  </si>
  <si>
    <t>Minimum percentage of core Crown gross debt to nominal GDP</t>
  </si>
  <si>
    <t>financial asset receiving the same rate of return as the interest rate paid on the debt. This makes the switch "net debt neutral".</t>
  </si>
  <si>
    <t>minimum of 0% of nominal GDP i.e. $0, is applied to core Crown gross debt. At this pont the remaining residual is switched into a</t>
  </si>
  <si>
    <t>A higher minimum core Crown net debt percentage of GDP can be selected, but a negative selection will default to 0% in the modelling.</t>
  </si>
  <si>
    <t>Additional core Crown financial assets once gross debt reaches minimum % of GDP</t>
  </si>
  <si>
    <t>Revenue from additional financial assets once gross debt reaches minimum % of GDP</t>
  </si>
  <si>
    <t>Revenue excluding return from financial assets if gross debt reaches minimum % of GDP</t>
  </si>
  <si>
    <t>Core Crown Gross Debt or Negative of Financial Asset if GD below minimum % of GDP</t>
  </si>
  <si>
    <t>Total Assets excluding financial assets if gross debt reaches minimum % of GDP</t>
  </si>
  <si>
    <t>Revenue excl. return on financial assets if gross debt at min. % of GDP (Core Crown)</t>
  </si>
  <si>
    <t>Total Assets excl. financial assets if gross debt at minimum % of GDP (Core Crown)</t>
  </si>
  <si>
    <t>Gross Sovereign-issued Debt (GSID)</t>
  </si>
  <si>
    <t>Gross Sovereign-issued Debt (GSID) (Core Crown)</t>
  </si>
  <si>
    <t>Additional total Crown financial assets once gross debt reaches minimum % of GDP</t>
  </si>
  <si>
    <t>Non-core Crown Revenue from extra financial assets once gross debt reaches min % GDP</t>
  </si>
  <si>
    <t>FISCAL STRATEGY MODEL (FSM) - BUDGET ECONOMIC &amp; FISCAL UPDATE 2013 VERSION</t>
  </si>
  <si>
    <t>Budget Economic and Fiscal Update (BEFU) 2013 data and forecasts</t>
  </si>
  <si>
    <t>BEFU 2013</t>
  </si>
  <si>
    <t>HLFS aggregate labour force projected from this year onwards using NLFP aggregate growth rates</t>
  </si>
  <si>
    <t>Option</t>
  </si>
  <si>
    <t>BEFU 2013 forecasts by Treasury</t>
  </si>
  <si>
    <t>BEFU 2013 forecasts from the Ministry of Social Development (benefits and NZS) and</t>
  </si>
  <si>
    <t>Track based on BEFU 2013 nominal GDP and net-of-tax NZS expenditure tracks.</t>
  </si>
  <si>
    <t>Other Working for Families Tax Credits</t>
  </si>
  <si>
    <t>Projected using BEFU 2013 Student Loan track from the Ministry of Education beyond the forecast horizon.</t>
  </si>
  <si>
    <t>BEFU 2013 track from Inland Revenue Department to 2021/22. Beyond that projected at Nominal GDP growth.</t>
  </si>
  <si>
    <t>BEFU 2013 forecasts from Treasury.</t>
  </si>
  <si>
    <t>$1.061 billion. This is equivalent to $1 billion, set for the year ending June 2015, growing at 2% per year.</t>
  </si>
  <si>
    <t>Population 1-4</t>
  </si>
  <si>
    <t>Population 5-17</t>
  </si>
  <si>
    <t>Population 18-24</t>
  </si>
  <si>
    <t>Population 65+</t>
  </si>
  <si>
    <t>Population 0-18</t>
  </si>
  <si>
    <t>Population 15+</t>
  </si>
  <si>
    <t>In post-forecast projected years, GSF variables grow with 2012-base projected track from the GSF's Actuaries.</t>
  </si>
  <si>
    <t>% of Sovereign-guaranteed borrowings to core Crown gross debt</t>
  </si>
  <si>
    <t>the ratio of sovereign-guaranteed borrowings to core Crown gross debt still function properly.</t>
  </si>
  <si>
    <t>If core Crown Gross Debt is allowed to go to zero, this assumption will act as a default percentage to ensure formulae that depend on</t>
  </si>
  <si>
    <t>Budget13</t>
  </si>
  <si>
    <t>Unemployed numbers ratio for JSS recipient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</si>
</sst>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00"/>
    <numFmt numFmtId="166" formatCode="0.0%"/>
    <numFmt numFmtId="167" formatCode="0.0"/>
    <numFmt numFmtId="168" formatCode="#,##0.0"/>
    <numFmt numFmtId="169" formatCode="0.0000%"/>
    <numFmt numFmtId="170" formatCode="0.0000"/>
    <numFmt numFmtId="171" formatCode="#,##0.000"/>
    <numFmt numFmtId="172" formatCode="_-* #,##0_-;\-* #,##0_-;_-* &quot;-&quot;??_-;_-@_-"/>
    <numFmt numFmtId="173" formatCode="#,##0.0_);\(#,##0.0\)"/>
    <numFmt numFmtId="174" formatCode="&quot;$&quot;#,##0"/>
    <numFmt numFmtId="175" formatCode="#,##0.0000"/>
    <numFmt numFmtId="176" formatCode="0.00000"/>
  </numFmts>
  <fonts count="7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20"/>
      <name val="MS Sans Serif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164" fontId="62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73" fontId="4" fillId="0" borderId="0"/>
    <xf numFmtId="0" fontId="16" fillId="0" borderId="0"/>
    <xf numFmtId="0" fontId="1" fillId="23" borderId="7" applyNumberFormat="0" applyFont="0" applyAlignment="0" applyProtection="0"/>
    <xf numFmtId="0" fontId="57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4">
    <xf numFmtId="0" fontId="0" fillId="0" borderId="0" xfId="0"/>
    <xf numFmtId="166" fontId="5" fillId="24" borderId="7" xfId="69" quotePrefix="1" applyNumberFormat="1" applyFont="1" applyFill="1" applyBorder="1" applyAlignment="1"/>
    <xf numFmtId="165" fontId="5" fillId="24" borderId="7" xfId="69" quotePrefix="1" applyNumberFormat="1" applyFont="1" applyFill="1" applyBorder="1" applyAlignment="1"/>
    <xf numFmtId="0" fontId="0" fillId="25" borderId="0" xfId="0" applyFill="1"/>
    <xf numFmtId="165" fontId="0" fillId="25" borderId="0" xfId="0" applyNumberFormat="1" applyFill="1"/>
    <xf numFmtId="0" fontId="7" fillId="0" borderId="0" xfId="0" applyFont="1"/>
    <xf numFmtId="0" fontId="11" fillId="0" borderId="0" xfId="0" applyFont="1"/>
    <xf numFmtId="0" fontId="2" fillId="26" borderId="0" xfId="0" applyFont="1" applyFill="1"/>
    <xf numFmtId="0" fontId="0" fillId="26" borderId="0" xfId="0" applyFill="1"/>
    <xf numFmtId="49" fontId="9" fillId="26" borderId="0" xfId="0" applyNumberFormat="1" applyFont="1" applyFill="1" applyAlignment="1">
      <alignment horizontal="center"/>
    </xf>
    <xf numFmtId="0" fontId="12" fillId="26" borderId="0" xfId="0" applyFont="1" applyFill="1" applyBorder="1"/>
    <xf numFmtId="0" fontId="2" fillId="25" borderId="0" xfId="0" applyFont="1" applyFill="1"/>
    <xf numFmtId="49" fontId="9" fillId="25" borderId="0" xfId="0" applyNumberFormat="1" applyFont="1" applyFill="1" applyAlignment="1">
      <alignment horizontal="center"/>
    </xf>
    <xf numFmtId="0" fontId="12" fillId="25" borderId="0" xfId="0" applyFont="1" applyFill="1" applyBorder="1"/>
    <xf numFmtId="0" fontId="13" fillId="26" borderId="0" xfId="0" applyFont="1" applyFill="1" applyBorder="1"/>
    <xf numFmtId="0" fontId="13" fillId="25" borderId="0" xfId="0" applyFont="1" applyFill="1" applyBorder="1"/>
    <xf numFmtId="0" fontId="14" fillId="26" borderId="0" xfId="0" applyFont="1" applyFill="1"/>
    <xf numFmtId="0" fontId="6" fillId="27" borderId="10" xfId="0" applyFont="1" applyFill="1" applyBorder="1"/>
    <xf numFmtId="0" fontId="6" fillId="27" borderId="11" xfId="0" applyFont="1" applyFill="1" applyBorder="1"/>
    <xf numFmtId="0" fontId="6" fillId="27" borderId="12" xfId="0" applyFont="1" applyFill="1" applyBorder="1" applyAlignment="1">
      <alignment horizontal="center"/>
    </xf>
    <xf numFmtId="165" fontId="16" fillId="27" borderId="11" xfId="66" applyNumberFormat="1" applyFont="1" applyFill="1" applyBorder="1" applyAlignment="1">
      <alignment horizontal="left"/>
    </xf>
    <xf numFmtId="1" fontId="16" fillId="27" borderId="13" xfId="66" applyNumberFormat="1" applyFont="1" applyFill="1" applyBorder="1" applyAlignment="1">
      <alignment horizontal="left"/>
    </xf>
    <xf numFmtId="0" fontId="0" fillId="27" borderId="0" xfId="0" applyFill="1"/>
    <xf numFmtId="0" fontId="14" fillId="27" borderId="0" xfId="0" applyFont="1" applyFill="1"/>
    <xf numFmtId="49" fontId="7" fillId="28" borderId="0" xfId="0" applyNumberFormat="1" applyFont="1" applyFill="1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2"/>
    </xf>
    <xf numFmtId="49" fontId="4" fillId="0" borderId="0" xfId="0" applyNumberFormat="1" applyFont="1" applyAlignment="1">
      <alignment horizontal="left" indent="2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1"/>
    </xf>
    <xf numFmtId="1" fontId="0" fillId="0" borderId="0" xfId="0" applyNumberFormat="1"/>
    <xf numFmtId="0" fontId="7" fillId="24" borderId="7" xfId="0" applyFont="1" applyFill="1" applyBorder="1"/>
    <xf numFmtId="49" fontId="2" fillId="0" borderId="0" xfId="0" applyNumberFormat="1" applyFont="1"/>
    <xf numFmtId="49" fontId="7" fillId="0" borderId="0" xfId="0" applyNumberFormat="1" applyFont="1"/>
    <xf numFmtId="165" fontId="0" fillId="0" borderId="0" xfId="0" applyNumberFormat="1"/>
    <xf numFmtId="0" fontId="2" fillId="29" borderId="0" xfId="0" applyFont="1" applyFill="1"/>
    <xf numFmtId="49" fontId="9" fillId="29" borderId="0" xfId="0" applyNumberFormat="1" applyFont="1" applyFill="1" applyAlignment="1">
      <alignment horizontal="center"/>
    </xf>
    <xf numFmtId="49" fontId="6" fillId="29" borderId="0" xfId="0" applyNumberFormat="1" applyFont="1" applyFill="1" applyBorder="1" applyAlignment="1">
      <alignment horizontal="left" indent="2"/>
    </xf>
    <xf numFmtId="166" fontId="0" fillId="0" borderId="0" xfId="0" applyNumberFormat="1"/>
    <xf numFmtId="165" fontId="6" fillId="0" borderId="0" xfId="0" applyNumberFormat="1" applyFont="1" applyBorder="1"/>
    <xf numFmtId="165" fontId="6" fillId="0" borderId="0" xfId="0" applyNumberFormat="1" applyFont="1"/>
    <xf numFmtId="0" fontId="12" fillId="0" borderId="0" xfId="0" applyFont="1" applyFill="1" applyBorder="1"/>
    <xf numFmtId="49" fontId="21" fillId="0" borderId="0" xfId="0" applyNumberFormat="1" applyFont="1" applyAlignment="1">
      <alignment horizontal="left" vertical="center" indent="1"/>
    </xf>
    <xf numFmtId="165" fontId="23" fillId="0" borderId="0" xfId="0" applyNumberFormat="1" applyFont="1" applyAlignment="1">
      <alignment horizontal="center"/>
    </xf>
    <xf numFmtId="165" fontId="3" fillId="0" borderId="0" xfId="64" applyFont="1" applyFill="1"/>
    <xf numFmtId="165" fontId="25" fillId="0" borderId="0" xfId="64" applyFont="1" applyFill="1"/>
    <xf numFmtId="165" fontId="7" fillId="0" borderId="0" xfId="64" applyFont="1" applyFill="1"/>
    <xf numFmtId="165" fontId="3" fillId="0" borderId="0" xfId="64" applyFont="1" applyFill="1" applyAlignment="1">
      <alignment horizontal="left" indent="1"/>
    </xf>
    <xf numFmtId="165" fontId="3" fillId="0" borderId="0" xfId="64" applyFont="1" applyFill="1" applyAlignment="1">
      <alignment horizontal="left"/>
    </xf>
    <xf numFmtId="165" fontId="7" fillId="0" borderId="0" xfId="64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right"/>
    </xf>
    <xf numFmtId="0" fontId="6" fillId="26" borderId="15" xfId="0" applyFont="1" applyFill="1" applyBorder="1" applyAlignment="1">
      <alignment horizontal="center"/>
    </xf>
    <xf numFmtId="0" fontId="6" fillId="26" borderId="16" xfId="0" applyFont="1" applyFill="1" applyBorder="1" applyAlignment="1"/>
    <xf numFmtId="0" fontId="6" fillId="26" borderId="17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49" fontId="6" fillId="26" borderId="18" xfId="0" applyNumberFormat="1" applyFont="1" applyFill="1" applyBorder="1" applyAlignment="1">
      <alignment horizontal="center"/>
    </xf>
    <xf numFmtId="49" fontId="6" fillId="26" borderId="19" xfId="0" applyNumberFormat="1" applyFont="1" applyFill="1" applyBorder="1" applyAlignment="1">
      <alignment horizontal="center"/>
    </xf>
    <xf numFmtId="3" fontId="0" fillId="26" borderId="0" xfId="0" applyNumberFormat="1" applyFill="1"/>
    <xf numFmtId="3" fontId="6" fillId="26" borderId="20" xfId="0" applyNumberFormat="1" applyFont="1" applyFill="1" applyBorder="1" applyAlignment="1">
      <alignment horizontal="center"/>
    </xf>
    <xf numFmtId="49" fontId="27" fillId="26" borderId="0" xfId="0" applyNumberFormat="1" applyFont="1" applyFill="1" applyAlignment="1">
      <alignment horizontal="center"/>
    </xf>
    <xf numFmtId="165" fontId="26" fillId="26" borderId="0" xfId="0" applyNumberFormat="1" applyFont="1" applyFill="1" applyBorder="1" applyAlignment="1">
      <alignment horizontal="right"/>
    </xf>
    <xf numFmtId="49" fontId="17" fillId="26" borderId="0" xfId="0" applyNumberFormat="1" applyFont="1" applyFill="1" applyAlignment="1">
      <alignment horizontal="center"/>
    </xf>
    <xf numFmtId="49" fontId="29" fillId="25" borderId="0" xfId="0" applyNumberFormat="1" applyFont="1" applyFill="1" applyAlignment="1">
      <alignment horizontal="center"/>
    </xf>
    <xf numFmtId="165" fontId="30" fillId="25" borderId="0" xfId="0" applyNumberFormat="1" applyFont="1" applyFill="1"/>
    <xf numFmtId="165" fontId="4" fillId="0" borderId="0" xfId="64" applyFont="1" applyFill="1" applyAlignment="1">
      <alignment horizontal="left" indent="1"/>
    </xf>
    <xf numFmtId="165" fontId="26" fillId="0" borderId="0" xfId="0" applyNumberFormat="1" applyFont="1"/>
    <xf numFmtId="166" fontId="26" fillId="0" borderId="0" xfId="0" applyNumberFormat="1" applyFont="1"/>
    <xf numFmtId="165" fontId="20" fillId="0" borderId="0" xfId="0" applyNumberFormat="1" applyFont="1"/>
    <xf numFmtId="0" fontId="26" fillId="0" borderId="0" xfId="0" applyFont="1"/>
    <xf numFmtId="165" fontId="24" fillId="0" borderId="0" xfId="0" applyNumberFormat="1" applyFont="1"/>
    <xf numFmtId="165" fontId="20" fillId="0" borderId="0" xfId="0" applyNumberFormat="1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0" fontId="0" fillId="0" borderId="0" xfId="0" applyFill="1"/>
    <xf numFmtId="0" fontId="6" fillId="29" borderId="0" xfId="0" applyFont="1" applyFill="1" applyAlignment="1">
      <alignment horizontal="center"/>
    </xf>
    <xf numFmtId="165" fontId="9" fillId="29" borderId="0" xfId="0" applyNumberFormat="1" applyFont="1" applyFill="1" applyAlignment="1">
      <alignment horizontal="center"/>
    </xf>
    <xf numFmtId="165" fontId="24" fillId="0" borderId="0" xfId="0" applyNumberFormat="1" applyFont="1" applyBorder="1"/>
    <xf numFmtId="165" fontId="24" fillId="0" borderId="21" xfId="0" applyNumberFormat="1" applyFont="1" applyBorder="1"/>
    <xf numFmtId="49" fontId="3" fillId="0" borderId="0" xfId="0" applyNumberFormat="1" applyFont="1" applyFill="1" applyAlignment="1">
      <alignment horizontal="left" indent="1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/>
    <xf numFmtId="165" fontId="24" fillId="0" borderId="0" xfId="0" applyNumberFormat="1" applyFont="1" applyAlignment="1">
      <alignment horizontal="center"/>
    </xf>
    <xf numFmtId="165" fontId="26" fillId="0" borderId="0" xfId="0" applyNumberFormat="1" applyFont="1" applyFill="1"/>
    <xf numFmtId="3" fontId="0" fillId="29" borderId="0" xfId="0" applyNumberFormat="1" applyFill="1"/>
    <xf numFmtId="0" fontId="6" fillId="29" borderId="0" xfId="0" applyFont="1" applyFill="1"/>
    <xf numFmtId="49" fontId="6" fillId="29" borderId="0" xfId="0" applyNumberFormat="1" applyFont="1" applyFill="1" applyBorder="1" applyAlignment="1">
      <alignment horizontal="center"/>
    </xf>
    <xf numFmtId="0" fontId="16" fillId="27" borderId="11" xfId="66" applyNumberFormat="1" applyFont="1" applyFill="1" applyBorder="1" applyAlignment="1">
      <alignment horizontal="left"/>
    </xf>
    <xf numFmtId="1" fontId="8" fillId="27" borderId="11" xfId="66" applyNumberFormat="1" applyFont="1" applyFill="1" applyBorder="1" applyAlignment="1">
      <alignment horizontal="left"/>
    </xf>
    <xf numFmtId="3" fontId="0" fillId="27" borderId="11" xfId="0" applyNumberFormat="1" applyFill="1" applyBorder="1"/>
    <xf numFmtId="3" fontId="0" fillId="27" borderId="13" xfId="0" applyNumberFormat="1" applyFill="1" applyBorder="1"/>
    <xf numFmtId="3" fontId="6" fillId="27" borderId="11" xfId="0" applyNumberFormat="1" applyFont="1" applyFill="1" applyBorder="1"/>
    <xf numFmtId="166" fontId="1" fillId="27" borderId="11" xfId="69" applyNumberFormat="1" applyFill="1" applyBorder="1"/>
    <xf numFmtId="165" fontId="0" fillId="0" borderId="0" xfId="0" applyNumberFormat="1" applyFill="1"/>
    <xf numFmtId="165" fontId="24" fillId="0" borderId="0" xfId="0" applyNumberFormat="1" applyFont="1" applyFill="1"/>
    <xf numFmtId="165" fontId="20" fillId="0" borderId="0" xfId="0" applyNumberFormat="1" applyFont="1" applyFill="1" applyBorder="1"/>
    <xf numFmtId="165" fontId="6" fillId="0" borderId="0" xfId="0" applyNumberFormat="1" applyFont="1" applyFill="1"/>
    <xf numFmtId="166" fontId="26" fillId="0" borderId="0" xfId="0" applyNumberFormat="1" applyFont="1" applyFill="1"/>
    <xf numFmtId="165" fontId="26" fillId="26" borderId="0" xfId="0" applyNumberFormat="1" applyFont="1" applyFill="1"/>
    <xf numFmtId="165" fontId="32" fillId="0" borderId="0" xfId="0" applyNumberFormat="1" applyFont="1"/>
    <xf numFmtId="165" fontId="33" fillId="0" borderId="0" xfId="0" applyNumberFormat="1" applyFont="1" applyFill="1" applyBorder="1"/>
    <xf numFmtId="165" fontId="12" fillId="0" borderId="0" xfId="0" applyNumberFormat="1" applyFont="1" applyFill="1"/>
    <xf numFmtId="49" fontId="35" fillId="0" borderId="0" xfId="0" applyNumberFormat="1" applyFont="1" applyFill="1" applyAlignment="1">
      <alignment horizontal="left"/>
    </xf>
    <xf numFmtId="165" fontId="25" fillId="26" borderId="7" xfId="64" applyNumberFormat="1" applyFont="1" applyFill="1" applyBorder="1" applyAlignment="1"/>
    <xf numFmtId="165" fontId="25" fillId="0" borderId="0" xfId="64" applyFont="1"/>
    <xf numFmtId="165" fontId="25" fillId="26" borderId="7" xfId="64" applyNumberFormat="1" applyFont="1" applyFill="1" applyBorder="1" applyAlignment="1">
      <alignment horizontal="right"/>
    </xf>
    <xf numFmtId="2" fontId="25" fillId="30" borderId="7" xfId="64" applyNumberFormat="1" applyFont="1" applyFill="1" applyBorder="1" applyAlignment="1"/>
    <xf numFmtId="165" fontId="25" fillId="30" borderId="7" xfId="64" applyNumberFormat="1" applyFont="1" applyFill="1" applyBorder="1" applyAlignment="1"/>
    <xf numFmtId="166" fontId="25" fillId="0" borderId="0" xfId="64" applyNumberFormat="1" applyFont="1" applyAlignment="1">
      <alignment horizontal="left"/>
    </xf>
    <xf numFmtId="165" fontId="35" fillId="31" borderId="22" xfId="64" applyNumberFormat="1" applyFont="1" applyFill="1" applyBorder="1" applyAlignment="1"/>
    <xf numFmtId="165" fontId="25" fillId="0" borderId="7" xfId="64" applyFont="1" applyFill="1" applyBorder="1" applyAlignment="1">
      <alignment horizontal="right"/>
    </xf>
    <xf numFmtId="165" fontId="12" fillId="32" borderId="0" xfId="0" applyNumberFormat="1" applyFont="1" applyFill="1"/>
    <xf numFmtId="165" fontId="24" fillId="27" borderId="0" xfId="0" applyNumberFormat="1" applyFont="1" applyFill="1"/>
    <xf numFmtId="166" fontId="26" fillId="0" borderId="0" xfId="69" applyNumberFormat="1" applyFont="1"/>
    <xf numFmtId="166" fontId="24" fillId="0" borderId="0" xfId="69" applyNumberFormat="1" applyFont="1"/>
    <xf numFmtId="166" fontId="12" fillId="0" borderId="0" xfId="69" applyNumberFormat="1" applyFont="1"/>
    <xf numFmtId="166" fontId="19" fillId="0" borderId="0" xfId="69" applyNumberFormat="1" applyFont="1"/>
    <xf numFmtId="166" fontId="23" fillId="0" borderId="0" xfId="69" applyNumberFormat="1" applyFont="1"/>
    <xf numFmtId="0" fontId="4" fillId="0" borderId="0" xfId="0" applyFont="1"/>
    <xf numFmtId="165" fontId="23" fillId="0" borderId="0" xfId="0" applyNumberFormat="1" applyFont="1"/>
    <xf numFmtId="0" fontId="23" fillId="0" borderId="0" xfId="0" applyFont="1"/>
    <xf numFmtId="166" fontId="23" fillId="0" borderId="0" xfId="0" applyNumberFormat="1" applyFont="1"/>
    <xf numFmtId="165" fontId="23" fillId="0" borderId="0" xfId="0" applyNumberFormat="1" applyFont="1" applyFill="1"/>
    <xf numFmtId="165" fontId="23" fillId="0" borderId="21" xfId="0" applyNumberFormat="1" applyFont="1" applyBorder="1"/>
    <xf numFmtId="165" fontId="19" fillId="0" borderId="0" xfId="0" applyNumberFormat="1" applyFont="1"/>
    <xf numFmtId="165" fontId="19" fillId="0" borderId="0" xfId="0" applyNumberFormat="1" applyFont="1" applyAlignment="1">
      <alignment horizontal="center"/>
    </xf>
    <xf numFmtId="0" fontId="36" fillId="0" borderId="0" xfId="0" applyFont="1"/>
    <xf numFmtId="3" fontId="6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27" borderId="0" xfId="0" applyFont="1" applyFill="1" applyAlignment="1">
      <alignment horizontal="left" indent="1"/>
    </xf>
    <xf numFmtId="2" fontId="24" fillId="27" borderId="0" xfId="0" applyNumberFormat="1" applyFont="1" applyFill="1"/>
    <xf numFmtId="166" fontId="24" fillId="0" borderId="0" xfId="0" applyNumberFormat="1" applyFont="1"/>
    <xf numFmtId="166" fontId="23" fillId="0" borderId="21" xfId="69" applyNumberFormat="1" applyFont="1" applyBorder="1"/>
    <xf numFmtId="166" fontId="24" fillId="0" borderId="21" xfId="69" applyNumberFormat="1" applyFont="1" applyBorder="1"/>
    <xf numFmtId="2" fontId="5" fillId="24" borderId="7" xfId="69" quotePrefix="1" applyNumberFormat="1" applyFont="1" applyFill="1" applyBorder="1" applyAlignment="1"/>
    <xf numFmtId="49" fontId="17" fillId="25" borderId="0" xfId="0" applyNumberFormat="1" applyFont="1" applyFill="1" applyAlignment="1">
      <alignment horizontal="center"/>
    </xf>
    <xf numFmtId="0" fontId="5" fillId="24" borderId="7" xfId="69" applyNumberFormat="1" applyFont="1" applyFill="1" applyBorder="1" applyAlignment="1">
      <alignment horizontal="center"/>
    </xf>
    <xf numFmtId="9" fontId="5" fillId="24" borderId="7" xfId="69" quotePrefix="1" applyNumberFormat="1" applyFont="1" applyFill="1" applyBorder="1" applyAlignment="1"/>
    <xf numFmtId="49" fontId="4" fillId="0" borderId="0" xfId="0" applyNumberFormat="1" applyFont="1" applyFill="1" applyBorder="1" applyAlignment="1">
      <alignment horizontal="left" indent="2"/>
    </xf>
    <xf numFmtId="49" fontId="34" fillId="0" borderId="0" xfId="0" applyNumberFormat="1" applyFont="1" applyFill="1" applyAlignment="1">
      <alignment horizontal="left"/>
    </xf>
    <xf numFmtId="49" fontId="21" fillId="0" borderId="0" xfId="0" applyNumberFormat="1" applyFont="1"/>
    <xf numFmtId="49" fontId="22" fillId="0" borderId="0" xfId="0" applyNumberFormat="1" applyFont="1" applyFill="1" applyAlignment="1">
      <alignment horizontal="left" indent="1"/>
    </xf>
    <xf numFmtId="165" fontId="23" fillId="0" borderId="0" xfId="0" applyNumberFormat="1" applyFont="1" applyFill="1" applyBorder="1"/>
    <xf numFmtId="49" fontId="38" fillId="0" borderId="0" xfId="0" applyNumberFormat="1" applyFont="1" applyFill="1" applyAlignment="1">
      <alignment horizontal="lef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/>
    <xf numFmtId="49" fontId="4" fillId="0" borderId="0" xfId="64" applyNumberFormat="1" applyFont="1" applyFill="1" applyAlignment="1">
      <alignment horizontal="left" indent="1"/>
    </xf>
    <xf numFmtId="49" fontId="22" fillId="0" borderId="0" xfId="64" applyNumberFormat="1" applyFont="1" applyFill="1" applyAlignment="1">
      <alignment horizontal="left" indent="1"/>
    </xf>
    <xf numFmtId="49" fontId="4" fillId="0" borderId="0" xfId="69" applyNumberFormat="1" applyFont="1" applyFill="1" applyAlignment="1">
      <alignment horizontal="left" indent="2"/>
    </xf>
    <xf numFmtId="0" fontId="20" fillId="0" borderId="0" xfId="0" applyNumberFormat="1" applyFont="1" applyAlignment="1">
      <alignment horizontal="center"/>
    </xf>
    <xf numFmtId="1" fontId="12" fillId="28" borderId="0" xfId="0" applyNumberFormat="1" applyFont="1" applyFill="1" applyAlignment="1">
      <alignment horizontal="center"/>
    </xf>
    <xf numFmtId="49" fontId="7" fillId="26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49" fontId="14" fillId="29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 indent="1"/>
    </xf>
    <xf numFmtId="165" fontId="4" fillId="0" borderId="0" xfId="64" applyFill="1" applyAlignment="1">
      <alignment horizontal="left" indent="1"/>
    </xf>
    <xf numFmtId="165" fontId="35" fillId="26" borderId="22" xfId="64" applyNumberFormat="1" applyFont="1" applyFill="1" applyBorder="1" applyAlignment="1"/>
    <xf numFmtId="3" fontId="23" fillId="0" borderId="0" xfId="0" applyNumberFormat="1" applyFont="1"/>
    <xf numFmtId="3" fontId="24" fillId="0" borderId="0" xfId="0" applyNumberFormat="1" applyFont="1"/>
    <xf numFmtId="4" fontId="24" fillId="0" borderId="0" xfId="0" applyNumberFormat="1" applyFont="1"/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26" fillId="0" borderId="21" xfId="0" applyNumberFormat="1" applyFont="1" applyBorder="1"/>
    <xf numFmtId="165" fontId="26" fillId="0" borderId="0" xfId="0" applyNumberFormat="1" applyFont="1" applyFill="1" applyBorder="1"/>
    <xf numFmtId="4" fontId="26" fillId="0" borderId="0" xfId="0" applyNumberFormat="1" applyFont="1"/>
    <xf numFmtId="3" fontId="26" fillId="0" borderId="0" xfId="0" applyNumberFormat="1" applyFont="1"/>
    <xf numFmtId="165" fontId="15" fillId="26" borderId="7" xfId="64" applyFont="1" applyFill="1" applyBorder="1" applyAlignment="1"/>
    <xf numFmtId="165" fontId="15" fillId="26" borderId="7" xfId="64" applyNumberFormat="1" applyFont="1" applyFill="1" applyBorder="1" applyAlignment="1"/>
    <xf numFmtId="165" fontId="15" fillId="26" borderId="23" xfId="64" applyNumberFormat="1" applyFont="1" applyFill="1" applyBorder="1" applyAlignment="1"/>
    <xf numFmtId="165" fontId="39" fillId="31" borderId="22" xfId="64" applyNumberFormat="1" applyFont="1" applyFill="1" applyBorder="1" applyAlignment="1"/>
    <xf numFmtId="165" fontId="15" fillId="0" borderId="0" xfId="64" applyFont="1"/>
    <xf numFmtId="165" fontId="39" fillId="26" borderId="22" xfId="64" applyNumberFormat="1" applyFont="1" applyFill="1" applyBorder="1" applyAlignment="1"/>
    <xf numFmtId="165" fontId="39" fillId="31" borderId="24" xfId="64" applyNumberFormat="1" applyFont="1" applyFill="1" applyBorder="1" applyAlignment="1"/>
    <xf numFmtId="165" fontId="15" fillId="26" borderId="25" xfId="64" applyFont="1" applyFill="1" applyBorder="1" applyAlignment="1"/>
    <xf numFmtId="165" fontId="15" fillId="26" borderId="26" xfId="64" applyFont="1" applyFill="1" applyBorder="1" applyAlignment="1"/>
    <xf numFmtId="165" fontId="39" fillId="26" borderId="7" xfId="64" applyFont="1" applyFill="1" applyBorder="1" applyAlignment="1"/>
    <xf numFmtId="165" fontId="15" fillId="26" borderId="7" xfId="64" applyFont="1" applyFill="1" applyBorder="1" applyAlignment="1">
      <alignment horizontal="right"/>
    </xf>
    <xf numFmtId="165" fontId="15" fillId="26" borderId="24" xfId="64" applyFont="1" applyFill="1" applyBorder="1" applyAlignment="1">
      <alignment horizontal="right"/>
    </xf>
    <xf numFmtId="165" fontId="15" fillId="0" borderId="27" xfId="64" applyFont="1" applyFill="1" applyBorder="1" applyAlignment="1">
      <alignment horizontal="left"/>
    </xf>
    <xf numFmtId="165" fontId="15" fillId="26" borderId="7" xfId="64" applyNumberFormat="1" applyFont="1" applyFill="1" applyBorder="1" applyAlignment="1">
      <alignment horizontal="right"/>
    </xf>
    <xf numFmtId="2" fontId="15" fillId="30" borderId="7" xfId="64" applyNumberFormat="1" applyFont="1" applyFill="1" applyBorder="1" applyAlignment="1"/>
    <xf numFmtId="165" fontId="15" fillId="30" borderId="7" xfId="64" applyNumberFormat="1" applyFont="1" applyFill="1" applyBorder="1" applyAlignment="1"/>
    <xf numFmtId="1" fontId="15" fillId="27" borderId="7" xfId="64" applyNumberFormat="1" applyFont="1" applyFill="1" applyBorder="1" applyAlignment="1">
      <alignment horizontal="right"/>
    </xf>
    <xf numFmtId="1" fontId="35" fillId="0" borderId="0" xfId="64" applyNumberFormat="1" applyFont="1" applyFill="1"/>
    <xf numFmtId="1" fontId="39" fillId="0" borderId="0" xfId="64" applyNumberFormat="1" applyFont="1" applyFill="1"/>
    <xf numFmtId="169" fontId="0" fillId="0" borderId="0" xfId="0" applyNumberFormat="1"/>
    <xf numFmtId="0" fontId="3" fillId="0" borderId="0" xfId="0" applyFont="1"/>
    <xf numFmtId="0" fontId="21" fillId="0" borderId="0" xfId="0" applyFont="1"/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27" borderId="0" xfId="0" applyFont="1" applyFill="1" applyAlignment="1">
      <alignment horizontal="left" indent="1"/>
    </xf>
    <xf numFmtId="0" fontId="40" fillId="27" borderId="0" xfId="0" applyFont="1" applyFill="1" applyAlignment="1">
      <alignment horizontal="left" indent="1"/>
    </xf>
    <xf numFmtId="0" fontId="41" fillId="34" borderId="0" xfId="0" applyFont="1" applyFill="1" applyAlignment="1">
      <alignment horizontal="center"/>
    </xf>
    <xf numFmtId="0" fontId="7" fillId="35" borderId="0" xfId="0" applyFont="1" applyFill="1" applyAlignment="1">
      <alignment horizontal="left" indent="1"/>
    </xf>
    <xf numFmtId="0" fontId="6" fillId="35" borderId="0" xfId="0" applyFont="1" applyFill="1"/>
    <xf numFmtId="0" fontId="42" fillId="29" borderId="0" xfId="0" applyFont="1" applyFill="1" applyAlignment="1">
      <alignment horizontal="center"/>
    </xf>
    <xf numFmtId="165" fontId="39" fillId="26" borderId="7" xfId="64" applyNumberFormat="1" applyFont="1" applyFill="1" applyBorder="1" applyAlignment="1"/>
    <xf numFmtId="165" fontId="35" fillId="26" borderId="7" xfId="64" applyNumberFormat="1" applyFont="1" applyFill="1" applyBorder="1" applyAlignment="1"/>
    <xf numFmtId="0" fontId="2" fillId="36" borderId="0" xfId="0" applyFont="1" applyFill="1"/>
    <xf numFmtId="0" fontId="0" fillId="36" borderId="0" xfId="0" applyFill="1"/>
    <xf numFmtId="0" fontId="13" fillId="36" borderId="0" xfId="0" applyFont="1" applyFill="1" applyBorder="1"/>
    <xf numFmtId="49" fontId="9" fillId="36" borderId="0" xfId="0" applyNumberFormat="1" applyFont="1" applyFill="1" applyAlignment="1">
      <alignment horizontal="center"/>
    </xf>
    <xf numFmtId="166" fontId="1" fillId="35" borderId="0" xfId="69" applyNumberFormat="1" applyFill="1"/>
    <xf numFmtId="2" fontId="15" fillId="27" borderId="7" xfId="64" applyNumberFormat="1" applyFont="1" applyFill="1" applyBorder="1" applyAlignment="1">
      <alignment horizontal="right"/>
    </xf>
    <xf numFmtId="2" fontId="25" fillId="27" borderId="7" xfId="64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6" fontId="26" fillId="0" borderId="21" xfId="69" applyNumberFormat="1" applyFont="1" applyBorder="1"/>
    <xf numFmtId="166" fontId="20" fillId="0" borderId="0" xfId="69" applyNumberFormat="1" applyFont="1"/>
    <xf numFmtId="165" fontId="39" fillId="26" borderId="7" xfId="64" applyFont="1" applyFill="1" applyBorder="1" applyAlignment="1">
      <alignment horizontal="right"/>
    </xf>
    <xf numFmtId="165" fontId="4" fillId="0" borderId="0" xfId="64" applyFont="1" applyFill="1" applyAlignment="1">
      <alignment horizontal="left"/>
    </xf>
    <xf numFmtId="165" fontId="39" fillId="0" borderId="22" xfId="64" applyNumberFormat="1" applyFont="1" applyFill="1" applyBorder="1" applyAlignment="1">
      <alignment horizontal="center"/>
    </xf>
    <xf numFmtId="165" fontId="35" fillId="0" borderId="22" xfId="64" applyNumberFormat="1" applyFont="1" applyFill="1" applyBorder="1" applyAlignment="1">
      <alignment horizontal="center"/>
    </xf>
    <xf numFmtId="165" fontId="21" fillId="0" borderId="0" xfId="64" applyFont="1" applyFill="1" applyAlignment="1">
      <alignment horizontal="left"/>
    </xf>
    <xf numFmtId="165" fontId="35" fillId="0" borderId="24" xfId="64" applyNumberFormat="1" applyFont="1" applyFill="1" applyBorder="1" applyAlignment="1">
      <alignment horizontal="center"/>
    </xf>
    <xf numFmtId="165" fontId="39" fillId="0" borderId="0" xfId="64" applyNumberFormat="1" applyFont="1" applyFill="1" applyBorder="1" applyAlignment="1">
      <alignment horizontal="center"/>
    </xf>
    <xf numFmtId="0" fontId="0" fillId="37" borderId="0" xfId="0" applyFill="1"/>
    <xf numFmtId="0" fontId="31" fillId="0" borderId="0" xfId="0" applyFont="1"/>
    <xf numFmtId="165" fontId="26" fillId="37" borderId="0" xfId="0" applyNumberFormat="1" applyFont="1" applyFill="1"/>
    <xf numFmtId="165" fontId="15" fillId="26" borderId="0" xfId="64" applyFont="1" applyFill="1" applyBorder="1" applyAlignment="1"/>
    <xf numFmtId="165" fontId="18" fillId="0" borderId="0" xfId="0" applyNumberFormat="1" applyFont="1"/>
    <xf numFmtId="165" fontId="26" fillId="25" borderId="0" xfId="0" applyNumberFormat="1" applyFont="1" applyFill="1"/>
    <xf numFmtId="167" fontId="5" fillId="24" borderId="7" xfId="69" quotePrefix="1" applyNumberFormat="1" applyFont="1" applyFill="1" applyBorder="1" applyAlignment="1"/>
    <xf numFmtId="165" fontId="1" fillId="0" borderId="0" xfId="0" applyNumberFormat="1" applyFont="1"/>
    <xf numFmtId="0" fontId="42" fillId="38" borderId="0" xfId="0" applyFont="1" applyFill="1" applyAlignment="1">
      <alignment horizontal="center"/>
    </xf>
    <xf numFmtId="0" fontId="42" fillId="39" borderId="0" xfId="0" applyFont="1" applyFill="1" applyAlignment="1">
      <alignment horizontal="center"/>
    </xf>
    <xf numFmtId="0" fontId="42" fillId="38" borderId="0" xfId="0" applyFont="1" applyFill="1" applyAlignment="1">
      <alignment horizontal="left"/>
    </xf>
    <xf numFmtId="0" fontId="2" fillId="40" borderId="0" xfId="0" applyFont="1" applyFill="1"/>
    <xf numFmtId="0" fontId="0" fillId="40" borderId="0" xfId="0" applyFill="1"/>
    <xf numFmtId="0" fontId="13" fillId="40" borderId="0" xfId="0" applyFont="1" applyFill="1" applyBorder="1"/>
    <xf numFmtId="49" fontId="17" fillId="40" borderId="0" xfId="0" applyNumberFormat="1" applyFont="1" applyFill="1" applyAlignment="1">
      <alignment horizontal="center"/>
    </xf>
    <xf numFmtId="49" fontId="27" fillId="40" borderId="0" xfId="0" applyNumberFormat="1" applyFont="1" applyFill="1" applyAlignment="1">
      <alignment horizontal="center"/>
    </xf>
    <xf numFmtId="49" fontId="9" fillId="40" borderId="0" xfId="0" applyNumberFormat="1" applyFont="1" applyFill="1" applyAlignment="1">
      <alignment horizontal="center"/>
    </xf>
    <xf numFmtId="0" fontId="12" fillId="40" borderId="0" xfId="0" applyFont="1" applyFill="1" applyBorder="1"/>
    <xf numFmtId="165" fontId="26" fillId="40" borderId="0" xfId="0" applyNumberFormat="1" applyFont="1" applyFill="1" applyBorder="1" applyAlignment="1">
      <alignment horizontal="right"/>
    </xf>
    <xf numFmtId="165" fontId="23" fillId="40" borderId="0" xfId="0" applyNumberFormat="1" applyFont="1" applyFill="1"/>
    <xf numFmtId="165" fontId="0" fillId="40" borderId="0" xfId="0" applyNumberFormat="1" applyFill="1"/>
    <xf numFmtId="2" fontId="1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72" fontId="12" fillId="0" borderId="0" xfId="28" applyNumberFormat="1" applyFont="1" applyAlignment="1">
      <alignment horizontal="center"/>
    </xf>
    <xf numFmtId="172" fontId="19" fillId="0" borderId="0" xfId="28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 horizontal="center"/>
    </xf>
    <xf numFmtId="10" fontId="12" fillId="0" borderId="0" xfId="69" applyNumberFormat="1" applyFont="1" applyAlignment="1">
      <alignment horizontal="center"/>
    </xf>
    <xf numFmtId="10" fontId="19" fillId="0" borderId="0" xfId="69" applyNumberFormat="1" applyFont="1" applyAlignment="1">
      <alignment horizontal="center"/>
    </xf>
    <xf numFmtId="0" fontId="1" fillId="0" borderId="0" xfId="0" applyFont="1"/>
    <xf numFmtId="165" fontId="24" fillId="0" borderId="0" xfId="40" applyNumberFormat="1" applyFont="1"/>
    <xf numFmtId="0" fontId="1" fillId="0" borderId="0" xfId="40"/>
    <xf numFmtId="49" fontId="3" fillId="0" borderId="0" xfId="40" applyNumberFormat="1" applyFont="1" applyFill="1" applyAlignment="1">
      <alignment horizontal="left"/>
    </xf>
    <xf numFmtId="166" fontId="26" fillId="0" borderId="0" xfId="40" applyNumberFormat="1" applyFont="1"/>
    <xf numFmtId="165" fontId="26" fillId="0" borderId="0" xfId="40" applyNumberFormat="1" applyFont="1"/>
    <xf numFmtId="165" fontId="23" fillId="0" borderId="0" xfId="40" applyNumberFormat="1" applyFont="1"/>
    <xf numFmtId="165" fontId="26" fillId="37" borderId="0" xfId="40" applyNumberFormat="1" applyFont="1" applyFill="1"/>
    <xf numFmtId="165" fontId="1" fillId="0" borderId="0" xfId="40" applyNumberFormat="1"/>
    <xf numFmtId="0" fontId="26" fillId="0" borderId="0" xfId="40" applyNumberFormat="1" applyFont="1" applyAlignment="1">
      <alignment horizontal="center"/>
    </xf>
    <xf numFmtId="165" fontId="20" fillId="0" borderId="0" xfId="40" applyNumberFormat="1" applyFont="1"/>
    <xf numFmtId="165" fontId="26" fillId="0" borderId="21" xfId="40" applyNumberFormat="1" applyFont="1" applyBorder="1"/>
    <xf numFmtId="165" fontId="24" fillId="0" borderId="21" xfId="40" applyNumberFormat="1" applyFont="1" applyBorder="1"/>
    <xf numFmtId="165" fontId="12" fillId="0" borderId="0" xfId="40" applyNumberFormat="1" applyFont="1"/>
    <xf numFmtId="49" fontId="4" fillId="0" borderId="0" xfId="40" applyNumberFormat="1" applyFont="1" applyFill="1" applyAlignment="1">
      <alignment horizontal="left" indent="1"/>
    </xf>
    <xf numFmtId="165" fontId="24" fillId="0" borderId="0" xfId="40" applyNumberFormat="1" applyFont="1" applyFill="1"/>
    <xf numFmtId="165" fontId="12" fillId="0" borderId="0" xfId="40" applyNumberFormat="1" applyFont="1" applyFill="1"/>
    <xf numFmtId="165" fontId="26" fillId="0" borderId="0" xfId="40" applyNumberFormat="1" applyFont="1" applyFill="1" applyBorder="1"/>
    <xf numFmtId="165" fontId="24" fillId="0" borderId="0" xfId="40" applyNumberFormat="1" applyFont="1" applyBorder="1"/>
    <xf numFmtId="166" fontId="23" fillId="0" borderId="0" xfId="40" applyNumberFormat="1" applyFont="1"/>
    <xf numFmtId="166" fontId="24" fillId="0" borderId="0" xfId="40" applyNumberFormat="1" applyFont="1"/>
    <xf numFmtId="165" fontId="35" fillId="26" borderId="7" xfId="64" applyNumberFormat="1" applyFont="1" applyFill="1" applyBorder="1" applyAlignment="1">
      <alignment horizontal="right"/>
    </xf>
    <xf numFmtId="165" fontId="25" fillId="0" borderId="0" xfId="64" applyNumberFormat="1" applyFont="1"/>
    <xf numFmtId="165" fontId="25" fillId="26" borderId="24" xfId="64" applyNumberFormat="1" applyFont="1" applyFill="1" applyBorder="1" applyAlignment="1">
      <alignment horizontal="right"/>
    </xf>
    <xf numFmtId="0" fontId="7" fillId="41" borderId="0" xfId="0" applyFont="1" applyFill="1" applyAlignment="1">
      <alignment horizontal="left" indent="1"/>
    </xf>
    <xf numFmtId="0" fontId="40" fillId="41" borderId="0" xfId="0" applyFont="1" applyFill="1" applyAlignment="1">
      <alignment horizontal="left" indent="1"/>
    </xf>
    <xf numFmtId="0" fontId="67" fillId="42" borderId="0" xfId="0" applyFont="1" applyFill="1" applyAlignment="1">
      <alignment horizontal="center"/>
    </xf>
    <xf numFmtId="2" fontId="23" fillId="0" borderId="0" xfId="0" applyNumberFormat="1" applyFont="1"/>
    <xf numFmtId="165" fontId="39" fillId="26" borderId="24" xfId="64" applyFont="1" applyFill="1" applyBorder="1" applyAlignment="1"/>
    <xf numFmtId="165" fontId="35" fillId="26" borderId="24" xfId="64" applyNumberFormat="1" applyFont="1" applyFill="1" applyBorder="1" applyAlignment="1"/>
    <xf numFmtId="165" fontId="3" fillId="0" borderId="0" xfId="65" applyNumberFormat="1" applyFont="1" applyFill="1" applyAlignment="1">
      <alignment horizontal="left"/>
    </xf>
    <xf numFmtId="0" fontId="7" fillId="40" borderId="27" xfId="0" applyFont="1" applyFill="1" applyBorder="1"/>
    <xf numFmtId="166" fontId="5" fillId="40" borderId="7" xfId="69" quotePrefix="1" applyNumberFormat="1" applyFont="1" applyFill="1" applyBorder="1" applyAlignment="1"/>
    <xf numFmtId="167" fontId="5" fillId="40" borderId="7" xfId="69" quotePrefix="1" applyNumberFormat="1" applyFont="1" applyFill="1" applyBorder="1" applyAlignment="1"/>
    <xf numFmtId="2" fontId="5" fillId="40" borderId="7" xfId="69" quotePrefix="1" applyNumberFormat="1" applyFont="1" applyFill="1" applyBorder="1" applyAlignment="1"/>
    <xf numFmtId="0" fontId="5" fillId="40" borderId="7" xfId="69" applyNumberFormat="1" applyFont="1" applyFill="1" applyBorder="1" applyAlignment="1">
      <alignment horizontal="center"/>
    </xf>
    <xf numFmtId="0" fontId="63" fillId="43" borderId="0" xfId="40" applyFont="1" applyFill="1"/>
    <xf numFmtId="0" fontId="61" fillId="43" borderId="0" xfId="40" applyFont="1" applyFill="1"/>
    <xf numFmtId="0" fontId="1" fillId="43" borderId="0" xfId="40" applyFont="1" applyFill="1"/>
    <xf numFmtId="0" fontId="1" fillId="31" borderId="0" xfId="40" applyFill="1"/>
    <xf numFmtId="0" fontId="10" fillId="43" borderId="0" xfId="40" applyFont="1" applyFill="1"/>
    <xf numFmtId="0" fontId="31" fillId="31" borderId="0" xfId="40" applyFont="1" applyFill="1"/>
    <xf numFmtId="0" fontId="1" fillId="43" borderId="0" xfId="40" applyFill="1"/>
    <xf numFmtId="0" fontId="2" fillId="0" borderId="0" xfId="40" applyFont="1"/>
    <xf numFmtId="49" fontId="9" fillId="0" borderId="0" xfId="40" applyNumberFormat="1" applyFont="1" applyFill="1" applyAlignment="1">
      <alignment horizontal="center"/>
    </xf>
    <xf numFmtId="0" fontId="7" fillId="0" borderId="0" xfId="40" applyFont="1"/>
    <xf numFmtId="3" fontId="1" fillId="0" borderId="0" xfId="40" applyNumberFormat="1"/>
    <xf numFmtId="49" fontId="6" fillId="28" borderId="0" xfId="40" applyNumberFormat="1" applyFont="1" applyFill="1" applyBorder="1" applyAlignment="1">
      <alignment horizontal="left" indent="6"/>
    </xf>
    <xf numFmtId="0" fontId="1" fillId="28" borderId="0" xfId="40" applyFill="1"/>
    <xf numFmtId="171" fontId="6" fillId="28" borderId="0" xfId="40" applyNumberFormat="1" applyFont="1" applyFill="1"/>
    <xf numFmtId="3" fontId="1" fillId="28" borderId="0" xfId="40" applyNumberFormat="1" applyFill="1"/>
    <xf numFmtId="49" fontId="1" fillId="28" borderId="0" xfId="40" applyNumberFormat="1" applyFill="1" applyBorder="1" applyAlignment="1">
      <alignment horizontal="left" indent="6"/>
    </xf>
    <xf numFmtId="171" fontId="1" fillId="0" borderId="0" xfId="40" applyNumberFormat="1"/>
    <xf numFmtId="49" fontId="1" fillId="35" borderId="0" xfId="40" applyNumberFormat="1" applyFont="1" applyFill="1" applyBorder="1" applyAlignment="1">
      <alignment horizontal="left" indent="6"/>
    </xf>
    <xf numFmtId="49" fontId="1" fillId="35" borderId="0" xfId="40" applyNumberFormat="1" applyFill="1" applyBorder="1" applyAlignment="1">
      <alignment horizontal="left" indent="6"/>
    </xf>
    <xf numFmtId="3" fontId="1" fillId="35" borderId="0" xfId="40" applyNumberFormat="1" applyFill="1"/>
    <xf numFmtId="0" fontId="1" fillId="35" borderId="0" xfId="40" applyFill="1"/>
    <xf numFmtId="0" fontId="6" fillId="0" borderId="0" xfId="40" applyFont="1" applyAlignment="1">
      <alignment horizontal="center"/>
    </xf>
    <xf numFmtId="10" fontId="24" fillId="0" borderId="0" xfId="69" applyNumberFormat="1" applyFont="1"/>
    <xf numFmtId="10" fontId="5" fillId="24" borderId="7" xfId="69" quotePrefix="1" applyNumberFormat="1" applyFont="1" applyFill="1" applyBorder="1" applyAlignment="1"/>
    <xf numFmtId="10" fontId="5" fillId="40" borderId="7" xfId="69" quotePrefix="1" applyNumberFormat="1" applyFont="1" applyFill="1" applyBorder="1" applyAlignment="1"/>
    <xf numFmtId="165" fontId="5" fillId="40" borderId="7" xfId="69" quotePrefix="1" applyNumberFormat="1" applyFont="1" applyFill="1" applyBorder="1" applyAlignment="1"/>
    <xf numFmtId="0" fontId="14" fillId="0" borderId="0" xfId="0" applyFont="1" applyAlignment="1">
      <alignment horizontal="left"/>
    </xf>
    <xf numFmtId="9" fontId="5" fillId="40" borderId="7" xfId="69" quotePrefix="1" applyNumberFormat="1" applyFont="1" applyFill="1" applyBorder="1" applyAlignment="1"/>
    <xf numFmtId="49" fontId="6" fillId="36" borderId="0" xfId="0" applyNumberFormat="1" applyFont="1" applyFill="1" applyBorder="1" applyAlignment="1"/>
    <xf numFmtId="0" fontId="64" fillId="0" borderId="0" xfId="0" applyFont="1"/>
    <xf numFmtId="1" fontId="24" fillId="25" borderId="0" xfId="0" applyNumberFormat="1" applyFont="1" applyFill="1" applyAlignment="1">
      <alignment horizontal="center"/>
    </xf>
    <xf numFmtId="10" fontId="23" fillId="0" borderId="0" xfId="69" applyNumberFormat="1" applyFont="1"/>
    <xf numFmtId="0" fontId="0" fillId="44" borderId="0" xfId="0" applyFill="1"/>
    <xf numFmtId="0" fontId="6" fillId="44" borderId="0" xfId="0" applyFont="1" applyFill="1"/>
    <xf numFmtId="49" fontId="9" fillId="44" borderId="0" xfId="0" applyNumberFormat="1" applyFont="1" applyFill="1" applyAlignment="1">
      <alignment horizontal="center"/>
    </xf>
    <xf numFmtId="0" fontId="1" fillId="44" borderId="0" xfId="0" applyFont="1" applyFill="1"/>
    <xf numFmtId="3" fontId="0" fillId="44" borderId="0" xfId="0" applyNumberFormat="1" applyFill="1"/>
    <xf numFmtId="3" fontId="6" fillId="44" borderId="0" xfId="0" applyNumberFormat="1" applyFont="1" applyFill="1"/>
    <xf numFmtId="0" fontId="68" fillId="0" borderId="0" xfId="0" applyNumberFormat="1" applyFont="1" applyAlignment="1">
      <alignment horizontal="center"/>
    </xf>
    <xf numFmtId="165" fontId="4" fillId="0" borderId="0" xfId="65" applyNumberFormat="1" applyFont="1" applyFill="1" applyAlignment="1">
      <alignment horizontal="left" indent="1"/>
    </xf>
    <xf numFmtId="174" fontId="5" fillId="24" borderId="0" xfId="69" quotePrefix="1" applyNumberFormat="1" applyFont="1" applyFill="1" applyBorder="1" applyAlignment="1"/>
    <xf numFmtId="174" fontId="5" fillId="40" borderId="0" xfId="69" quotePrefix="1" applyNumberFormat="1" applyFont="1" applyFill="1" applyBorder="1" applyAlignment="1"/>
    <xf numFmtId="165" fontId="7" fillId="0" borderId="0" xfId="65" applyNumberFormat="1" applyFont="1" applyFill="1" applyAlignment="1">
      <alignment horizontal="left"/>
    </xf>
    <xf numFmtId="165" fontId="21" fillId="0" borderId="0" xfId="65" applyNumberFormat="1" applyFont="1" applyFill="1" applyAlignment="1">
      <alignment horizontal="left"/>
    </xf>
    <xf numFmtId="0" fontId="2" fillId="0" borderId="0" xfId="41" applyFont="1"/>
    <xf numFmtId="0" fontId="1" fillId="0" borderId="0" xfId="41"/>
    <xf numFmtId="165" fontId="1" fillId="0" borderId="0" xfId="41" applyNumberFormat="1"/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68" fillId="0" borderId="0" xfId="0" applyNumberFormat="1" applyFont="1" applyAlignment="1">
      <alignment horizontal="center"/>
    </xf>
    <xf numFmtId="165" fontId="70" fillId="26" borderId="0" xfId="0" applyNumberFormat="1" applyFont="1" applyFill="1"/>
    <xf numFmtId="165" fontId="71" fillId="26" borderId="0" xfId="0" applyNumberFormat="1" applyFont="1" applyFill="1"/>
    <xf numFmtId="2" fontId="1" fillId="0" borderId="0" xfId="0" applyNumberFormat="1" applyFont="1"/>
    <xf numFmtId="0" fontId="2" fillId="42" borderId="0" xfId="0" applyFont="1" applyFill="1"/>
    <xf numFmtId="0" fontId="0" fillId="42" borderId="0" xfId="0" applyFill="1"/>
    <xf numFmtId="165" fontId="6" fillId="42" borderId="0" xfId="64" applyFont="1" applyFill="1" applyAlignment="1">
      <alignment horizontal="left" indent="1"/>
    </xf>
    <xf numFmtId="165" fontId="0" fillId="42" borderId="0" xfId="0" applyNumberFormat="1" applyFill="1"/>
    <xf numFmtId="165" fontId="6" fillId="42" borderId="0" xfId="64" applyFont="1" applyFill="1" applyAlignment="1">
      <alignment horizontal="left"/>
    </xf>
    <xf numFmtId="49" fontId="9" fillId="42" borderId="0" xfId="0" applyNumberFormat="1" applyFont="1" applyFill="1" applyAlignment="1">
      <alignment horizontal="center"/>
    </xf>
    <xf numFmtId="49" fontId="17" fillId="42" borderId="0" xfId="0" applyNumberFormat="1" applyFont="1" applyFill="1" applyAlignment="1">
      <alignment horizontal="center"/>
    </xf>
    <xf numFmtId="49" fontId="72" fillId="42" borderId="0" xfId="0" applyNumberFormat="1" applyFont="1" applyFill="1" applyAlignment="1">
      <alignment horizontal="center"/>
    </xf>
    <xf numFmtId="49" fontId="14" fillId="0" borderId="0" xfId="40" applyNumberFormat="1" applyFont="1" applyFill="1"/>
    <xf numFmtId="0" fontId="23" fillId="0" borderId="0" xfId="40" applyFont="1"/>
    <xf numFmtId="49" fontId="17" fillId="0" borderId="0" xfId="40" applyNumberFormat="1" applyFont="1" applyFill="1" applyAlignment="1">
      <alignment horizontal="center"/>
    </xf>
    <xf numFmtId="49" fontId="27" fillId="0" borderId="0" xfId="40" applyNumberFormat="1" applyFont="1" applyFill="1" applyAlignment="1">
      <alignment horizontal="center"/>
    </xf>
    <xf numFmtId="0" fontId="1" fillId="0" borderId="0" xfId="40" applyFont="1"/>
    <xf numFmtId="0" fontId="1" fillId="0" borderId="0" xfId="40" applyFont="1" applyAlignment="1">
      <alignment horizontal="left"/>
    </xf>
    <xf numFmtId="0" fontId="6" fillId="0" borderId="0" xfId="40" applyFont="1"/>
    <xf numFmtId="165" fontId="1" fillId="0" borderId="0" xfId="40" applyNumberFormat="1" applyFont="1"/>
    <xf numFmtId="49" fontId="73" fillId="0" borderId="0" xfId="40" applyNumberFormat="1" applyFont="1" applyFill="1" applyAlignment="1">
      <alignment horizontal="center"/>
    </xf>
    <xf numFmtId="0" fontId="27" fillId="0" borderId="0" xfId="40" applyNumberFormat="1" applyFont="1" applyFill="1" applyAlignment="1">
      <alignment horizontal="center"/>
    </xf>
    <xf numFmtId="49" fontId="8" fillId="0" borderId="0" xfId="40" applyNumberFormat="1" applyFont="1" applyFill="1" applyAlignment="1">
      <alignment horizontal="center"/>
    </xf>
    <xf numFmtId="49" fontId="5" fillId="24" borderId="7" xfId="69" applyNumberFormat="1" applyFont="1" applyFill="1" applyBorder="1" applyAlignment="1">
      <alignment horizontal="center"/>
    </xf>
    <xf numFmtId="49" fontId="5" fillId="40" borderId="7" xfId="69" applyNumberFormat="1" applyFont="1" applyFill="1" applyBorder="1" applyAlignment="1">
      <alignment horizontal="center"/>
    </xf>
    <xf numFmtId="165" fontId="74" fillId="0" borderId="0" xfId="0" applyNumberFormat="1" applyFont="1" applyAlignment="1">
      <alignment horizontal="center"/>
    </xf>
    <xf numFmtId="165" fontId="24" fillId="0" borderId="21" xfId="40" applyNumberFormat="1" applyFont="1" applyFill="1" applyBorder="1"/>
    <xf numFmtId="3" fontId="69" fillId="0" borderId="0" xfId="0" applyNumberFormat="1" applyFont="1"/>
    <xf numFmtId="3" fontId="75" fillId="0" borderId="0" xfId="0" applyNumberFormat="1" applyFont="1"/>
    <xf numFmtId="3" fontId="6" fillId="0" borderId="0" xfId="0" applyNumberFormat="1" applyFont="1"/>
    <xf numFmtId="175" fontId="69" fillId="0" borderId="0" xfId="0" applyNumberFormat="1" applyFont="1"/>
    <xf numFmtId="175" fontId="75" fillId="0" borderId="0" xfId="0" applyNumberFormat="1" applyFont="1"/>
    <xf numFmtId="175" fontId="68" fillId="0" borderId="0" xfId="0" applyNumberFormat="1" applyFont="1"/>
    <xf numFmtId="165" fontId="6" fillId="40" borderId="0" xfId="0" applyNumberFormat="1" applyFont="1" applyFill="1"/>
    <xf numFmtId="49" fontId="6" fillId="40" borderId="0" xfId="0" applyNumberFormat="1" applyFont="1" applyFill="1" applyBorder="1" applyAlignment="1">
      <alignment horizontal="left" indent="6"/>
    </xf>
    <xf numFmtId="171" fontId="6" fillId="40" borderId="0" xfId="0" applyNumberFormat="1" applyFont="1" applyFill="1"/>
    <xf numFmtId="49" fontId="0" fillId="40" borderId="0" xfId="0" applyNumberFormat="1" applyFill="1" applyBorder="1" applyAlignment="1">
      <alignment horizontal="left" indent="6"/>
    </xf>
    <xf numFmtId="3" fontId="1" fillId="40" borderId="0" xfId="0" applyNumberFormat="1" applyFont="1" applyFill="1"/>
    <xf numFmtId="49" fontId="1" fillId="40" borderId="0" xfId="0" applyNumberFormat="1" applyFont="1" applyFill="1" applyBorder="1" applyAlignment="1">
      <alignment horizontal="left" indent="6"/>
    </xf>
    <xf numFmtId="49" fontId="0" fillId="40" borderId="0" xfId="0" applyNumberFormat="1" applyFill="1" applyBorder="1" applyAlignment="1">
      <alignment horizontal="left" indent="2"/>
    </xf>
    <xf numFmtId="49" fontId="9" fillId="0" borderId="0" xfId="0" applyNumberFormat="1" applyFont="1" applyFill="1" applyAlignment="1">
      <alignment horizontal="center"/>
    </xf>
    <xf numFmtId="0" fontId="10" fillId="0" borderId="0" xfId="0" applyFont="1"/>
    <xf numFmtId="0" fontId="2" fillId="0" borderId="0" xfId="0" applyFont="1"/>
    <xf numFmtId="0" fontId="24" fillId="0" borderId="0" xfId="0" applyNumberFormat="1" applyFont="1" applyFill="1" applyAlignment="1">
      <alignment horizontal="center"/>
    </xf>
    <xf numFmtId="176" fontId="0" fillId="0" borderId="0" xfId="0" applyNumberFormat="1"/>
    <xf numFmtId="10" fontId="26" fillId="0" borderId="0" xfId="69" applyNumberFormat="1" applyFont="1"/>
    <xf numFmtId="1" fontId="25" fillId="27" borderId="7" xfId="64" applyNumberFormat="1" applyFont="1" applyFill="1" applyBorder="1" applyAlignment="1">
      <alignment horizontal="right"/>
    </xf>
    <xf numFmtId="10" fontId="15" fillId="27" borderId="7" xfId="69" applyNumberFormat="1" applyFont="1" applyFill="1" applyBorder="1" applyAlignment="1">
      <alignment horizontal="right"/>
    </xf>
    <xf numFmtId="10" fontId="25" fillId="27" borderId="7" xfId="69" applyNumberFormat="1" applyFont="1" applyFill="1" applyBorder="1" applyAlignment="1">
      <alignment horizontal="right"/>
    </xf>
    <xf numFmtId="165" fontId="15" fillId="27" borderId="7" xfId="64" applyNumberFormat="1" applyFont="1" applyFill="1" applyBorder="1" applyAlignment="1">
      <alignment horizontal="right"/>
    </xf>
    <xf numFmtId="165" fontId="25" fillId="27" borderId="7" xfId="64" applyNumberFormat="1" applyFont="1" applyFill="1" applyBorder="1" applyAlignment="1">
      <alignment horizontal="right"/>
    </xf>
    <xf numFmtId="0" fontId="13" fillId="42" borderId="0" xfId="0" applyFont="1" applyFill="1" applyBorder="1"/>
    <xf numFmtId="10" fontId="4" fillId="0" borderId="0" xfId="69" applyNumberFormat="1" applyFont="1" applyFill="1" applyAlignment="1">
      <alignment horizontal="left" indent="1"/>
    </xf>
    <xf numFmtId="166" fontId="70" fillId="0" borderId="0" xfId="0" applyNumberFormat="1" applyFont="1"/>
    <xf numFmtId="2" fontId="25" fillId="0" borderId="7" xfId="64" applyNumberFormat="1" applyFont="1" applyFill="1" applyBorder="1" applyAlignment="1">
      <alignment horizontal="right"/>
    </xf>
    <xf numFmtId="165" fontId="25" fillId="0" borderId="0" xfId="40" applyNumberFormat="1" applyFont="1"/>
    <xf numFmtId="165" fontId="4" fillId="0" borderId="0" xfId="40" applyNumberFormat="1" applyFont="1"/>
    <xf numFmtId="10" fontId="76" fillId="0" borderId="0" xfId="40" applyNumberFormat="1" applyFont="1"/>
    <xf numFmtId="10" fontId="4" fillId="0" borderId="0" xfId="40" applyNumberFormat="1" applyFont="1"/>
    <xf numFmtId="2" fontId="4" fillId="0" borderId="7" xfId="64" applyNumberFormat="1" applyFont="1" applyFill="1" applyBorder="1" applyAlignment="1">
      <alignment horizontal="right"/>
    </xf>
    <xf numFmtId="1" fontId="19" fillId="0" borderId="0" xfId="0" applyNumberFormat="1" applyFont="1"/>
    <xf numFmtId="1" fontId="12" fillId="0" borderId="0" xfId="0" applyNumberFormat="1" applyFont="1"/>
    <xf numFmtId="0" fontId="1" fillId="27" borderId="0" xfId="0" applyFont="1" applyFill="1"/>
    <xf numFmtId="0" fontId="5" fillId="27" borderId="11" xfId="66" applyNumberFormat="1" applyFont="1" applyFill="1" applyBorder="1" applyAlignment="1">
      <alignment horizontal="left"/>
    </xf>
    <xf numFmtId="166" fontId="1" fillId="27" borderId="13" xfId="69" applyNumberFormat="1" applyFill="1" applyBorder="1"/>
    <xf numFmtId="0" fontId="6" fillId="27" borderId="28" xfId="0" applyFont="1" applyFill="1" applyBorder="1"/>
    <xf numFmtId="0" fontId="6" fillId="27" borderId="29" xfId="0" applyFont="1" applyFill="1" applyBorder="1"/>
    <xf numFmtId="0" fontId="6" fillId="27" borderId="30" xfId="0" applyFont="1" applyFill="1" applyBorder="1"/>
    <xf numFmtId="0" fontId="6" fillId="27" borderId="31" xfId="0" applyFont="1" applyFill="1" applyBorder="1"/>
    <xf numFmtId="170" fontId="5" fillId="24" borderId="7" xfId="69" quotePrefix="1" applyNumberFormat="1" applyFont="1" applyFill="1" applyBorder="1" applyAlignment="1"/>
    <xf numFmtId="49" fontId="22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165" fontId="71" fillId="0" borderId="0" xfId="0" applyNumberFormat="1" applyFont="1"/>
    <xf numFmtId="170" fontId="5" fillId="40" borderId="7" xfId="69" quotePrefix="1" applyNumberFormat="1" applyFont="1" applyFill="1" applyBorder="1" applyAlignment="1"/>
    <xf numFmtId="167" fontId="26" fillId="0" borderId="0" xfId="0" applyNumberFormat="1" applyFont="1"/>
    <xf numFmtId="167" fontId="23" fillId="0" borderId="0" xfId="0" applyNumberFormat="1" applyFont="1"/>
    <xf numFmtId="167" fontId="24" fillId="0" borderId="0" xfId="0" applyNumberFormat="1" applyFont="1" applyFill="1"/>
    <xf numFmtId="171" fontId="71" fillId="42" borderId="0" xfId="0" applyNumberFormat="1" applyFont="1" applyFill="1"/>
    <xf numFmtId="171" fontId="28" fillId="42" borderId="0" xfId="69" applyNumberFormat="1" applyFont="1" applyFill="1" applyBorder="1" applyAlignment="1">
      <alignment horizontal="right"/>
    </xf>
    <xf numFmtId="171" fontId="1" fillId="42" borderId="0" xfId="69" applyNumberFormat="1" applyFill="1" applyBorder="1" applyAlignment="1">
      <alignment horizontal="right"/>
    </xf>
    <xf numFmtId="171" fontId="70" fillId="42" borderId="0" xfId="69" applyNumberFormat="1" applyFont="1" applyFill="1" applyBorder="1" applyAlignment="1">
      <alignment horizontal="right"/>
    </xf>
    <xf numFmtId="171" fontId="75" fillId="42" borderId="0" xfId="0" applyNumberFormat="1" applyFont="1" applyFill="1"/>
    <xf numFmtId="171" fontId="20" fillId="42" borderId="0" xfId="69" applyNumberFormat="1" applyFont="1" applyFill="1" applyBorder="1" applyAlignment="1">
      <alignment horizontal="right"/>
    </xf>
    <xf numFmtId="171" fontId="6" fillId="42" borderId="0" xfId="69" applyNumberFormat="1" applyFont="1" applyFill="1" applyBorder="1" applyAlignment="1">
      <alignment horizontal="right"/>
    </xf>
    <xf numFmtId="171" fontId="26" fillId="36" borderId="0" xfId="0" applyNumberFormat="1" applyFont="1" applyFill="1" applyBorder="1" applyAlignment="1">
      <alignment horizontal="right"/>
    </xf>
    <xf numFmtId="171" fontId="23" fillId="36" borderId="0" xfId="0" applyNumberFormat="1" applyFont="1" applyFill="1" applyBorder="1" applyAlignment="1">
      <alignment horizontal="right"/>
    </xf>
    <xf numFmtId="171" fontId="0" fillId="36" borderId="0" xfId="0" applyNumberFormat="1" applyFill="1" applyBorder="1" applyAlignment="1">
      <alignment horizontal="right"/>
    </xf>
    <xf numFmtId="0" fontId="10" fillId="44" borderId="0" xfId="0" applyFont="1" applyFill="1"/>
    <xf numFmtId="171" fontId="6" fillId="44" borderId="0" xfId="0" applyNumberFormat="1" applyFont="1" applyFill="1"/>
    <xf numFmtId="171" fontId="0" fillId="44" borderId="0" xfId="0" applyNumberFormat="1" applyFill="1"/>
    <xf numFmtId="171" fontId="69" fillId="44" borderId="0" xfId="0" applyNumberFormat="1" applyFont="1" applyFill="1"/>
    <xf numFmtId="172" fontId="19" fillId="0" borderId="0" xfId="30" applyNumberFormat="1" applyFont="1" applyAlignment="1">
      <alignment horizontal="center"/>
    </xf>
  </cellXfs>
  <cellStyles count="7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0" xfId="40"/>
    <cellStyle name="Normal 10 2" xfId="41"/>
    <cellStyle name="Normal 10 3" xfId="42"/>
    <cellStyle name="Normal 10 4" xfId="43"/>
    <cellStyle name="Normal 10 5" xfId="44"/>
    <cellStyle name="Normal 10 6" xfId="45"/>
    <cellStyle name="Normal 11" xfId="46"/>
    <cellStyle name="Normal 11 2" xfId="47"/>
    <cellStyle name="Normal 12" xfId="48"/>
    <cellStyle name="Normal 13" xfId="49"/>
    <cellStyle name="Normal 2" xfId="50"/>
    <cellStyle name="Normal 2 2" xfId="51"/>
    <cellStyle name="Normal 2 3" xfId="52"/>
    <cellStyle name="Normal 2 4" xfId="53"/>
    <cellStyle name="Normal 2 5" xfId="54"/>
    <cellStyle name="Normal 2 6" xfId="55"/>
    <cellStyle name="Normal 2 7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H-Ass" xfId="64"/>
    <cellStyle name="Normal_H-Ass 2" xfId="65"/>
    <cellStyle name="Normal_Health Weights for LTFM" xfId="66"/>
    <cellStyle name="Note" xfId="67" builtinId="10" customBuiltin="1"/>
    <cellStyle name="Output" xfId="68" builtinId="21" customBuiltin="1"/>
    <cellStyle name="Percent" xfId="69" builtinId="5"/>
    <cellStyle name="Percent 2" xfId="70"/>
    <cellStyle name="Percent 2 2" xfId="71"/>
    <cellStyle name="Percent 2 3" xfId="72"/>
    <cellStyle name="Percent 2 4" xfId="73"/>
    <cellStyle name="Percent 2 5" xfId="74"/>
    <cellStyle name="Percent 2 6" xfId="75"/>
    <cellStyle name="Title" xfId="76" builtinId="15" customBuiltin="1"/>
    <cellStyle name="Total" xfId="77" builtinId="25" customBuiltin="1"/>
    <cellStyle name="Warning Text" xfId="7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2" dropStyle="combo" dx="22" fmlaLink="Offset!$B$1" fmlaRange="Offset!$A$2:$A$33" noThreeD="1" sel="32" val="0"/>
</file>

<file path=xl/ctrlProps/ctrlProp2.xml><?xml version="1.0" encoding="utf-8"?>
<formControlPr xmlns="http://schemas.microsoft.com/office/spreadsheetml/2009/9/main" objectType="Drop" dropLines="32" dropStyle="combo" dx="22" fmlaLink="Offset!$B$1" fmlaRange="Offset!$A$2:$A$33" noThreeD="1" sel="3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0</xdr:rowOff>
        </xdr:from>
        <xdr:to>
          <xdr:col>0</xdr:col>
          <xdr:colOff>4714875</xdr:colOff>
          <xdr:row>4</xdr:row>
          <xdr:rowOff>323850</xdr:rowOff>
        </xdr:to>
        <xdr:sp macro="" textlink="">
          <xdr:nvSpPr>
            <xdr:cNvPr id="478209" name="Drop Down 1" hidden="1">
              <a:extLst>
                <a:ext uri="{63B3BB69-23CF-44E3-9099-C40C66FF867C}">
                  <a14:compatExt spid="_x0000_s47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0</xdr:rowOff>
        </xdr:from>
        <xdr:to>
          <xdr:col>0</xdr:col>
          <xdr:colOff>4714875</xdr:colOff>
          <xdr:row>4</xdr:row>
          <xdr:rowOff>323850</xdr:rowOff>
        </xdr:to>
        <xdr:sp macro="" textlink="">
          <xdr:nvSpPr>
            <xdr:cNvPr id="480257" name="Drop Down 1" hidden="1">
              <a:extLst>
                <a:ext uri="{63B3BB69-23CF-44E3-9099-C40C66FF867C}">
                  <a14:compatExt spid="_x0000_s48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33" sqref="A33"/>
    </sheetView>
  </sheetViews>
  <sheetFormatPr defaultRowHeight="12.75" x14ac:dyDescent="0.2"/>
  <cols>
    <col min="1" max="1" width="70.7109375" customWidth="1"/>
  </cols>
  <sheetData>
    <row r="1" spans="1:2" ht="15.75" x14ac:dyDescent="0.25">
      <c r="A1" s="5" t="s">
        <v>350</v>
      </c>
      <c r="B1">
        <v>32</v>
      </c>
    </row>
    <row r="2" spans="1:2" x14ac:dyDescent="0.2">
      <c r="A2" s="31" t="s">
        <v>672</v>
      </c>
      <c r="B2" s="32">
        <v>1</v>
      </c>
    </row>
    <row r="3" spans="1:2" x14ac:dyDescent="0.2">
      <c r="A3" s="31" t="s">
        <v>319</v>
      </c>
      <c r="B3" s="32">
        <v>2</v>
      </c>
    </row>
    <row r="4" spans="1:2" x14ac:dyDescent="0.2">
      <c r="A4" s="31" t="s">
        <v>320</v>
      </c>
      <c r="B4" s="32">
        <v>3</v>
      </c>
    </row>
    <row r="5" spans="1:2" x14ac:dyDescent="0.2">
      <c r="A5" s="31" t="s">
        <v>321</v>
      </c>
      <c r="B5" s="32">
        <v>4</v>
      </c>
    </row>
    <row r="6" spans="1:2" x14ac:dyDescent="0.2">
      <c r="A6" s="31"/>
      <c r="B6" s="32">
        <v>5</v>
      </c>
    </row>
    <row r="7" spans="1:2" x14ac:dyDescent="0.2">
      <c r="A7" s="31" t="s">
        <v>323</v>
      </c>
      <c r="B7" s="32">
        <v>6</v>
      </c>
    </row>
    <row r="8" spans="1:2" x14ac:dyDescent="0.2">
      <c r="A8" s="31"/>
      <c r="B8" s="32">
        <v>7</v>
      </c>
    </row>
    <row r="9" spans="1:2" x14ac:dyDescent="0.2">
      <c r="A9" s="31" t="s">
        <v>348</v>
      </c>
      <c r="B9" s="32">
        <v>8</v>
      </c>
    </row>
    <row r="10" spans="1:2" x14ac:dyDescent="0.2">
      <c r="A10" s="31"/>
      <c r="B10" s="32">
        <v>9</v>
      </c>
    </row>
    <row r="11" spans="1:2" x14ac:dyDescent="0.2">
      <c r="A11" s="31" t="s">
        <v>673</v>
      </c>
      <c r="B11" s="32">
        <v>10</v>
      </c>
    </row>
    <row r="12" spans="1:2" x14ac:dyDescent="0.2">
      <c r="A12" s="31" t="s">
        <v>324</v>
      </c>
      <c r="B12" s="32">
        <v>11</v>
      </c>
    </row>
    <row r="13" spans="1:2" x14ac:dyDescent="0.2">
      <c r="A13" s="31" t="s">
        <v>325</v>
      </c>
      <c r="B13" s="32">
        <v>12</v>
      </c>
    </row>
    <row r="14" spans="1:2" x14ac:dyDescent="0.2">
      <c r="A14" s="31" t="s">
        <v>326</v>
      </c>
      <c r="B14" s="32">
        <v>13</v>
      </c>
    </row>
    <row r="15" spans="1:2" x14ac:dyDescent="0.2">
      <c r="A15" s="31" t="s">
        <v>1054</v>
      </c>
      <c r="B15" s="32">
        <v>14</v>
      </c>
    </row>
    <row r="16" spans="1:2" x14ac:dyDescent="0.2">
      <c r="A16" s="31" t="s">
        <v>790</v>
      </c>
      <c r="B16" s="32">
        <v>15</v>
      </c>
    </row>
    <row r="17" spans="1:2" x14ac:dyDescent="0.2">
      <c r="A17" s="31"/>
      <c r="B17" s="32">
        <v>16</v>
      </c>
    </row>
    <row r="18" spans="1:2" x14ac:dyDescent="0.2">
      <c r="A18" s="31" t="s">
        <v>351</v>
      </c>
      <c r="B18" s="32">
        <v>17</v>
      </c>
    </row>
    <row r="19" spans="1:2" x14ac:dyDescent="0.2">
      <c r="A19" s="31" t="s">
        <v>800</v>
      </c>
      <c r="B19" s="32">
        <v>18</v>
      </c>
    </row>
    <row r="20" spans="1:2" x14ac:dyDescent="0.2">
      <c r="A20" s="31"/>
      <c r="B20" s="32">
        <v>19</v>
      </c>
    </row>
    <row r="21" spans="1:2" x14ac:dyDescent="0.2">
      <c r="A21" s="31"/>
      <c r="B21" s="32">
        <v>20</v>
      </c>
    </row>
    <row r="22" spans="1:2" x14ac:dyDescent="0.2">
      <c r="A22" s="31" t="s">
        <v>349</v>
      </c>
      <c r="B22" s="32">
        <v>21</v>
      </c>
    </row>
    <row r="23" spans="1:2" x14ac:dyDescent="0.2">
      <c r="A23" s="31" t="s">
        <v>675</v>
      </c>
      <c r="B23" s="32">
        <v>22</v>
      </c>
    </row>
    <row r="24" spans="1:2" x14ac:dyDescent="0.2">
      <c r="A24" s="31" t="s">
        <v>677</v>
      </c>
      <c r="B24" s="32">
        <v>23</v>
      </c>
    </row>
    <row r="25" spans="1:2" x14ac:dyDescent="0.2">
      <c r="A25" s="31" t="s">
        <v>678</v>
      </c>
      <c r="B25" s="32">
        <v>24</v>
      </c>
    </row>
    <row r="26" spans="1:2" x14ac:dyDescent="0.2">
      <c r="B26" s="32">
        <v>25</v>
      </c>
    </row>
    <row r="27" spans="1:2" x14ac:dyDescent="0.2">
      <c r="A27" s="31" t="s">
        <v>182</v>
      </c>
      <c r="B27" s="32">
        <v>26</v>
      </c>
    </row>
    <row r="28" spans="1:2" x14ac:dyDescent="0.2">
      <c r="A28" s="31" t="s">
        <v>1055</v>
      </c>
      <c r="B28" s="32">
        <v>27</v>
      </c>
    </row>
    <row r="29" spans="1:2" x14ac:dyDescent="0.2">
      <c r="A29" s="31" t="s">
        <v>679</v>
      </c>
      <c r="B29" s="32">
        <v>28</v>
      </c>
    </row>
    <row r="30" spans="1:2" x14ac:dyDescent="0.2">
      <c r="A30" s="31" t="s">
        <v>680</v>
      </c>
      <c r="B30" s="32">
        <v>29</v>
      </c>
    </row>
    <row r="31" spans="1:2" x14ac:dyDescent="0.2">
      <c r="A31" s="31" t="s">
        <v>681</v>
      </c>
      <c r="B31" s="32">
        <v>30</v>
      </c>
    </row>
    <row r="32" spans="1:2" x14ac:dyDescent="0.2">
      <c r="A32" s="31" t="s">
        <v>1057</v>
      </c>
      <c r="B32" s="32">
        <v>31</v>
      </c>
    </row>
    <row r="33" spans="1:2" x14ac:dyDescent="0.2">
      <c r="A33" s="31" t="s">
        <v>801</v>
      </c>
      <c r="B33" s="32">
        <v>32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2"/>
  <sheetViews>
    <sheetView workbookViewId="0">
      <pane xSplit="1" ySplit="5" topLeftCell="B182" activePane="bottomRight" state="frozen"/>
      <selection activeCell="S146" sqref="S146"/>
      <selection pane="topRight" activeCell="S146" sqref="S146"/>
      <selection pane="bottomLeft" activeCell="S146" sqref="S146"/>
      <selection pane="bottomRight" activeCell="E205" sqref="E205"/>
    </sheetView>
  </sheetViews>
  <sheetFormatPr defaultRowHeight="12.75" x14ac:dyDescent="0.2"/>
  <cols>
    <col min="1" max="1" width="70.7109375" style="122" customWidth="1"/>
    <col min="2" max="2" width="9.7109375" customWidth="1"/>
    <col min="3" max="3" width="4.7109375" style="72" customWidth="1"/>
    <col min="4" max="10" width="8.7109375" style="124" customWidth="1"/>
    <col min="11" max="24" width="8.7109375" style="73" customWidth="1"/>
  </cols>
  <sheetData>
    <row r="1" spans="1:24" ht="15.75" x14ac:dyDescent="0.25">
      <c r="A1" s="162" t="s">
        <v>392</v>
      </c>
      <c r="B1" s="24" t="s">
        <v>1064</v>
      </c>
      <c r="C1" s="161">
        <f>MATCH($B$1,Scenarios!$B$3:$I$3,0)</f>
        <v>2</v>
      </c>
      <c r="D1" s="201" t="s">
        <v>116</v>
      </c>
      <c r="E1" s="202"/>
      <c r="F1" s="203" t="s">
        <v>117</v>
      </c>
      <c r="G1" s="204" t="s">
        <v>118</v>
      </c>
      <c r="H1" s="205"/>
      <c r="I1" s="206" t="s">
        <v>117</v>
      </c>
      <c r="J1" s="236" t="s">
        <v>731</v>
      </c>
      <c r="K1" s="234"/>
      <c r="L1" s="235" t="s">
        <v>117</v>
      </c>
      <c r="M1" s="281" t="s">
        <v>756</v>
      </c>
      <c r="N1" s="282"/>
      <c r="O1" s="283" t="s">
        <v>117</v>
      </c>
      <c r="P1" s="227" t="s">
        <v>757</v>
      </c>
    </row>
    <row r="2" spans="1:24" ht="13.5" x14ac:dyDescent="0.25">
      <c r="A2" s="163" t="s">
        <v>687</v>
      </c>
      <c r="B2" s="226"/>
      <c r="C2" s="227" t="s">
        <v>587</v>
      </c>
      <c r="D2"/>
      <c r="E2"/>
      <c r="F2"/>
      <c r="G2"/>
      <c r="H2"/>
      <c r="I2"/>
      <c r="J2"/>
      <c r="K2"/>
      <c r="L2"/>
      <c r="M2"/>
      <c r="N2"/>
      <c r="O2" s="115" t="s">
        <v>151</v>
      </c>
      <c r="P2"/>
      <c r="Q2"/>
      <c r="R2"/>
      <c r="S2"/>
      <c r="T2"/>
      <c r="U2"/>
      <c r="V2"/>
      <c r="W2"/>
      <c r="X2"/>
    </row>
    <row r="3" spans="1:24" ht="15.75" x14ac:dyDescent="0.25">
      <c r="A3" s="52" t="s">
        <v>135</v>
      </c>
      <c r="B3" s="160"/>
      <c r="C3" s="160"/>
      <c r="D3" s="160" t="s">
        <v>442</v>
      </c>
      <c r="E3" s="160" t="s">
        <v>443</v>
      </c>
      <c r="F3" s="160" t="s">
        <v>444</v>
      </c>
      <c r="G3" s="160" t="s">
        <v>445</v>
      </c>
      <c r="H3" s="160" t="s">
        <v>446</v>
      </c>
      <c r="I3" s="160" t="s">
        <v>447</v>
      </c>
      <c r="J3" s="137" t="s">
        <v>448</v>
      </c>
      <c r="K3" s="137" t="s">
        <v>449</v>
      </c>
      <c r="L3" s="137" t="s">
        <v>450</v>
      </c>
      <c r="M3" s="137" t="s">
        <v>451</v>
      </c>
      <c r="N3" s="137" t="s">
        <v>452</v>
      </c>
      <c r="O3" s="136" t="s">
        <v>453</v>
      </c>
      <c r="P3" s="136" t="s">
        <v>454</v>
      </c>
      <c r="Q3" s="136" t="s">
        <v>455</v>
      </c>
      <c r="R3" s="136" t="s">
        <v>456</v>
      </c>
      <c r="S3" s="136" t="s">
        <v>457</v>
      </c>
      <c r="T3" s="136" t="s">
        <v>458</v>
      </c>
      <c r="U3" s="136" t="s">
        <v>459</v>
      </c>
      <c r="V3" s="136" t="s">
        <v>460</v>
      </c>
      <c r="W3" s="136" t="s">
        <v>461</v>
      </c>
      <c r="X3" s="136" t="s">
        <v>462</v>
      </c>
    </row>
    <row r="4" spans="1:24" ht="13.5" x14ac:dyDescent="0.25">
      <c r="A4" s="154" t="s">
        <v>347</v>
      </c>
      <c r="B4" s="216" t="s">
        <v>363</v>
      </c>
      <c r="C4" s="340">
        <v>2006</v>
      </c>
      <c r="D4" s="340">
        <f>$C$4+1</f>
        <v>2007</v>
      </c>
      <c r="E4" s="340">
        <f>$C$4+2</f>
        <v>2008</v>
      </c>
      <c r="F4" s="340">
        <f>$C$4+3</f>
        <v>2009</v>
      </c>
      <c r="G4" s="340">
        <f>$C$4+4</f>
        <v>2010</v>
      </c>
      <c r="H4" s="340">
        <f>$C$4+5</f>
        <v>2011</v>
      </c>
      <c r="I4" s="340">
        <f>$C$4+6</f>
        <v>2012</v>
      </c>
      <c r="J4" s="341">
        <f>$C$4+7</f>
        <v>2013</v>
      </c>
      <c r="K4" s="341">
        <f>$C$4+8</f>
        <v>2014</v>
      </c>
      <c r="L4" s="341">
        <f>$C$4+9</f>
        <v>2015</v>
      </c>
      <c r="M4" s="341">
        <f>$C$4+10</f>
        <v>2016</v>
      </c>
      <c r="N4" s="341">
        <f>$C$4+11</f>
        <v>2017</v>
      </c>
      <c r="O4" s="342">
        <f>$C$4+12</f>
        <v>2018</v>
      </c>
      <c r="P4" s="342">
        <f>$C$4+13</f>
        <v>2019</v>
      </c>
      <c r="Q4" s="342">
        <f>$C$4+14</f>
        <v>2020</v>
      </c>
      <c r="R4" s="342">
        <f>$C$4+15</f>
        <v>2021</v>
      </c>
      <c r="S4" s="342">
        <f>$C$4+16</f>
        <v>2022</v>
      </c>
      <c r="T4" s="342">
        <f>$C$4+17</f>
        <v>2023</v>
      </c>
      <c r="U4" s="342">
        <f>$C$4+18</f>
        <v>2024</v>
      </c>
      <c r="V4" s="342">
        <f>$C$4+19</f>
        <v>2025</v>
      </c>
      <c r="W4" s="342">
        <f>$C$4+20</f>
        <v>2026</v>
      </c>
      <c r="X4" s="342">
        <f>$C$4+21</f>
        <v>2027</v>
      </c>
    </row>
    <row r="5" spans="1:24" ht="21" customHeight="1" x14ac:dyDescent="0.2">
      <c r="A5" s="27"/>
      <c r="C5"/>
      <c r="D5" s="117">
        <f ca="1">OFFSET(D$7,Offset!$B$1,0)/D$244</f>
        <v>7.6183218446545881E-2</v>
      </c>
      <c r="E5" s="117">
        <f ca="1">OFFSET(E$7,Offset!$B$1,0)/E$244</f>
        <v>5.5246178868794349E-2</v>
      </c>
      <c r="F5" s="117">
        <f ca="1">OFFSET(F$7,Offset!$B$1,0)/F$244</f>
        <v>9.2292182201448095E-2</v>
      </c>
      <c r="G5" s="117">
        <f ca="1">OFFSET(G$7,Offset!$B$1,0)/G$244</f>
        <v>0.13940708453685649</v>
      </c>
      <c r="H5" s="117">
        <f ca="1">OFFSET(H$7,Offset!$B$1,0)/H$244</f>
        <v>0.20040552553512389</v>
      </c>
      <c r="I5" s="117">
        <f ca="1">OFFSET(I$7,Offset!$B$1,0)/I$244</f>
        <v>0.24306484959250155</v>
      </c>
      <c r="J5" s="121">
        <f ca="1">OFFSET(J$7,Offset!$B$1,0)/J$244</f>
        <v>0.27096855651783547</v>
      </c>
      <c r="K5" s="121">
        <f ca="1">OFFSET(K$7,Offset!$B$1,0)/K$244</f>
        <v>0.28419163463394942</v>
      </c>
      <c r="L5" s="121">
        <f ca="1">OFFSET(L$7,Offset!$B$1,0)/L$244</f>
        <v>0.28674869932844166</v>
      </c>
      <c r="M5" s="121">
        <f ca="1">OFFSET(M$7,Offset!$B$1,0)/M$244</f>
        <v>0.28096321027080212</v>
      </c>
      <c r="N5" s="121">
        <f ca="1">OFFSET(N$7,Offset!$B$1,0)/N$244</f>
        <v>0.27321076592320165</v>
      </c>
      <c r="O5" s="118">
        <f ca="1">OFFSET(O$7,Offset!$B$1,0)/O$244</f>
        <v>0.25900821018774028</v>
      </c>
      <c r="P5" s="118">
        <f ca="1">OFFSET(P$7,Offset!$B$1,0)/P$244</f>
        <v>0.23371743007472612</v>
      </c>
      <c r="Q5" s="118">
        <f ca="1">OFFSET(Q$7,Offset!$B$1,0)/Q$244</f>
        <v>0.20287542557101107</v>
      </c>
      <c r="R5" s="118">
        <f ca="1">OFFSET(R$7,Offset!$B$1,0)/R$244</f>
        <v>0.17556137260166441</v>
      </c>
      <c r="S5" s="118">
        <f ca="1">OFFSET(S$7,Offset!$B$1,0)/S$244</f>
        <v>0.14484534252899653</v>
      </c>
      <c r="T5" s="118">
        <f ca="1">OFFSET(T$7,Offset!$B$1,0)/T$244</f>
        <v>0.1105304929765025</v>
      </c>
      <c r="U5" s="118">
        <f ca="1">OFFSET(U$7,Offset!$B$1,0)/U$244</f>
        <v>7.2659717843084032E-2</v>
      </c>
      <c r="V5" s="118">
        <f ca="1">OFFSET(V$7,Offset!$B$1,0)/V$244</f>
        <v>3.1140134786844444E-2</v>
      </c>
      <c r="W5" s="118">
        <f ca="1">OFFSET(W$7,Offset!$B$1,0)/W$244</f>
        <v>-1.3932901802074097E-2</v>
      </c>
      <c r="X5" s="118">
        <f ca="1">OFFSET(X$7,Offset!$B$1,0)/X$244</f>
        <v>-6.2623290868026635E-2</v>
      </c>
    </row>
    <row r="6" spans="1:24" ht="15.75" customHeight="1" x14ac:dyDescent="0.25">
      <c r="A6" s="150" t="s">
        <v>384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x14ac:dyDescent="0.2">
      <c r="A7" s="27" t="s">
        <v>158</v>
      </c>
      <c r="C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x14ac:dyDescent="0.2">
      <c r="A8" s="220" t="s">
        <v>667</v>
      </c>
      <c r="B8" s="69"/>
      <c r="C8"/>
      <c r="D8" s="69">
        <f t="shared" ref="D8:X8" si="0">D$54</f>
        <v>53.063999999999993</v>
      </c>
      <c r="E8" s="69">
        <f t="shared" si="0"/>
        <v>56.372</v>
      </c>
      <c r="F8" s="69">
        <f t="shared" si="0"/>
        <v>54.145000000000003</v>
      </c>
      <c r="G8" s="69">
        <f t="shared" si="0"/>
        <v>50.347000000000001</v>
      </c>
      <c r="H8" s="69">
        <f t="shared" si="0"/>
        <v>51.128</v>
      </c>
      <c r="I8" s="69">
        <f t="shared" si="0"/>
        <v>54.664999999999992</v>
      </c>
      <c r="J8" s="123">
        <f t="shared" ca="1" si="0"/>
        <v>57.838999999999999</v>
      </c>
      <c r="K8" s="123">
        <f t="shared" ca="1" si="0"/>
        <v>61.772999999999996</v>
      </c>
      <c r="L8" s="123">
        <f t="shared" ca="1" si="0"/>
        <v>65.393999999999991</v>
      </c>
      <c r="M8" s="123">
        <f t="shared" ca="1" si="0"/>
        <v>68.903000000000006</v>
      </c>
      <c r="N8" s="123">
        <f t="shared" ca="1" si="0"/>
        <v>71.981999999999999</v>
      </c>
      <c r="O8" s="73">
        <f t="shared" ca="1" si="0"/>
        <v>76.059647517807136</v>
      </c>
      <c r="P8" s="73">
        <f t="shared" ca="1" si="0"/>
        <v>79.928880603791214</v>
      </c>
      <c r="Q8" s="73">
        <f t="shared" ca="1" si="0"/>
        <v>84.025369057493293</v>
      </c>
      <c r="R8" s="73">
        <f t="shared" ca="1" si="0"/>
        <v>88.225480373504013</v>
      </c>
      <c r="S8" s="73">
        <f t="shared" ca="1" si="0"/>
        <v>92.282563261471381</v>
      </c>
      <c r="T8" s="73">
        <f t="shared" ca="1" si="0"/>
        <v>96.449053838475351</v>
      </c>
      <c r="U8" s="73">
        <f t="shared" ca="1" si="0"/>
        <v>100.7346391297981</v>
      </c>
      <c r="V8" s="73">
        <f t="shared" ca="1" si="0"/>
        <v>105.18550908877289</v>
      </c>
      <c r="W8" s="73">
        <f t="shared" ca="1" si="0"/>
        <v>109.77514159340944</v>
      </c>
      <c r="X8" s="73">
        <f t="shared" ca="1" si="0"/>
        <v>114.49421683470598</v>
      </c>
    </row>
    <row r="9" spans="1:24" x14ac:dyDescent="0.2">
      <c r="A9" s="220" t="s">
        <v>316</v>
      </c>
      <c r="B9" s="69"/>
      <c r="C9"/>
      <c r="D9" s="69">
        <f t="shared" ref="D9:X9" si="1">SUM(D$8,D$62,D$72)</f>
        <v>74.588999999999999</v>
      </c>
      <c r="E9" s="69">
        <f t="shared" si="1"/>
        <v>81.478999999999999</v>
      </c>
      <c r="F9" s="69">
        <f t="shared" si="1"/>
        <v>79.506</v>
      </c>
      <c r="G9" s="69">
        <f t="shared" si="1"/>
        <v>74.724999999999994</v>
      </c>
      <c r="H9" s="69">
        <f t="shared" si="1"/>
        <v>81.562999999999988</v>
      </c>
      <c r="I9" s="69">
        <f t="shared" si="1"/>
        <v>83.483000000000004</v>
      </c>
      <c r="J9" s="123">
        <f t="shared" ca="1" si="1"/>
        <v>86.463000000000008</v>
      </c>
      <c r="K9" s="123">
        <f t="shared" ca="1" si="1"/>
        <v>91.603999999999985</v>
      </c>
      <c r="L9" s="123">
        <f t="shared" ca="1" si="1"/>
        <v>96.205999999999989</v>
      </c>
      <c r="M9" s="123">
        <f t="shared" ca="1" si="1"/>
        <v>99.963999999999999</v>
      </c>
      <c r="N9" s="123">
        <f t="shared" ca="1" si="1"/>
        <v>104.494</v>
      </c>
      <c r="O9" s="73">
        <f t="shared" ca="1" si="1"/>
        <v>109.47046755162735</v>
      </c>
      <c r="P9" s="73">
        <f t="shared" ca="1" si="1"/>
        <v>114.72582488922762</v>
      </c>
      <c r="Q9" s="73">
        <f t="shared" ca="1" si="1"/>
        <v>120.30321237055578</v>
      </c>
      <c r="R9" s="73">
        <f t="shared" ca="1" si="1"/>
        <v>126.09283049877276</v>
      </c>
      <c r="S9" s="73">
        <f t="shared" ca="1" si="1"/>
        <v>131.84140243882581</v>
      </c>
      <c r="T9" s="73">
        <f t="shared" ca="1" si="1"/>
        <v>137.73646466224363</v>
      </c>
      <c r="U9" s="73">
        <f t="shared" ca="1" si="1"/>
        <v>143.80023862761223</v>
      </c>
      <c r="V9" s="73">
        <f t="shared" ca="1" si="1"/>
        <v>150.09320681353739</v>
      </c>
      <c r="W9" s="73">
        <f t="shared" ca="1" si="1"/>
        <v>156.5796811627184</v>
      </c>
      <c r="X9" s="73">
        <f t="shared" ca="1" si="1"/>
        <v>163.24586867627914</v>
      </c>
    </row>
    <row r="10" spans="1:24" x14ac:dyDescent="0.2">
      <c r="A10" s="220" t="s">
        <v>317</v>
      </c>
      <c r="B10" s="69"/>
      <c r="C10"/>
      <c r="D10" s="69">
        <f t="shared" ref="D10:X10" si="2">SUM(D$11,D$144)</f>
        <v>68.728999999999999</v>
      </c>
      <c r="E10" s="69">
        <f t="shared" si="2"/>
        <v>75.841999999999999</v>
      </c>
      <c r="F10" s="69">
        <f t="shared" si="2"/>
        <v>83.398999999999987</v>
      </c>
      <c r="G10" s="69">
        <f t="shared" si="2"/>
        <v>81.039999999999992</v>
      </c>
      <c r="H10" s="69">
        <f t="shared" si="2"/>
        <v>99.959000000000003</v>
      </c>
      <c r="I10" s="69">
        <f t="shared" si="2"/>
        <v>92.723000000000013</v>
      </c>
      <c r="J10" s="123">
        <f t="shared" ca="1" si="2"/>
        <v>92.738</v>
      </c>
      <c r="K10" s="123">
        <f t="shared" ca="1" si="2"/>
        <v>93.497000000000014</v>
      </c>
      <c r="L10" s="123">
        <f t="shared" ca="1" si="2"/>
        <v>95.930999999999997</v>
      </c>
      <c r="M10" s="123">
        <f t="shared" ca="1" si="2"/>
        <v>98.89700000000002</v>
      </c>
      <c r="N10" s="123">
        <f t="shared" ca="1" si="2"/>
        <v>101.53599999999997</v>
      </c>
      <c r="O10" s="73">
        <f t="shared" ca="1" si="2"/>
        <v>104.11388062791751</v>
      </c>
      <c r="P10" s="73">
        <f t="shared" ca="1" si="2"/>
        <v>107.51331237541349</v>
      </c>
      <c r="Q10" s="73">
        <f t="shared" ca="1" si="2"/>
        <v>111.00881200522829</v>
      </c>
      <c r="R10" s="73">
        <f t="shared" ca="1" si="2"/>
        <v>114.72174581843947</v>
      </c>
      <c r="S10" s="73">
        <f t="shared" ca="1" si="2"/>
        <v>118.59274092936418</v>
      </c>
      <c r="T10" s="73">
        <f t="shared" ca="1" si="2"/>
        <v>122.53363117635473</v>
      </c>
      <c r="U10" s="73">
        <f t="shared" ca="1" si="2"/>
        <v>126.55098142872043</v>
      </c>
      <c r="V10" s="73">
        <f t="shared" ca="1" si="2"/>
        <v>130.6072975918762</v>
      </c>
      <c r="W10" s="73">
        <f t="shared" ca="1" si="2"/>
        <v>134.72315320731394</v>
      </c>
      <c r="X10" s="73">
        <f t="shared" ca="1" si="2"/>
        <v>138.79146955285518</v>
      </c>
    </row>
    <row r="11" spans="1:24" x14ac:dyDescent="0.2">
      <c r="A11" s="220" t="s">
        <v>322</v>
      </c>
      <c r="B11" s="69"/>
      <c r="C11"/>
      <c r="D11" s="69">
        <f>SUM(D$89,D$100,D$104,D$113,D$117,D$123,D$129,D$139,$D$147:D$147)</f>
        <v>65.843999999999994</v>
      </c>
      <c r="E11" s="69">
        <f>SUM(E$89,E$100,E$104,E$113,E$117,E$123,E$129,E$139,$D$147:E$147)</f>
        <v>72.741</v>
      </c>
      <c r="F11" s="69">
        <f>SUM(F$89,F$100,F$104,F$113,F$117,F$123,F$129,F$139,$D$147:F$147)</f>
        <v>80.328999999999994</v>
      </c>
      <c r="G11" s="69">
        <f>SUM(G$89,G$100,G$104,G$113,G$117,G$123,G$129,G$139,$D$147:G$147)</f>
        <v>78.262999999999991</v>
      </c>
      <c r="H11" s="69">
        <f>SUM(H$89,H$100,H$104,H$113,H$117,H$123,H$129,H$139,$D$147:H$147)</f>
        <v>96.363</v>
      </c>
      <c r="I11" s="69">
        <f>SUM(I$89,I$100,I$104,I$113,I$117,I$123,I$129,I$139,$D$147:I$147)</f>
        <v>88.433000000000007</v>
      </c>
      <c r="J11" s="123">
        <f ca="1">SUM(J$89,J$100,J$104,J$113,J$117,J$123,J$129,J$139,$D$147:J$147)</f>
        <v>88.436999999999998</v>
      </c>
      <c r="K11" s="123">
        <f ca="1">SUM(K$89,K$100,K$104,K$113,K$117,K$123,K$129,K$139,$D$147:K$147)</f>
        <v>88.981000000000009</v>
      </c>
      <c r="L11" s="123">
        <f ca="1">SUM(L$89,L$100,L$104,L$113,L$117,L$123,L$129,L$139,$D$147:L$147)</f>
        <v>90.997</v>
      </c>
      <c r="M11" s="123">
        <f ca="1">SUM(M$89,M$100,M$104,M$113,M$117,M$123,M$129,M$139,$D$147:M$147)</f>
        <v>93.866000000000014</v>
      </c>
      <c r="N11" s="123">
        <f ca="1">SUM(N$89,N$100,N$104,N$113,N$117,N$123,N$129,N$139,$D$147:N$147)</f>
        <v>95.940999999999974</v>
      </c>
      <c r="O11" s="73">
        <f ca="1">SUM(O$89,O$100,O$104,O$113,O$117,O$123,O$129,O$139,$D$147:O$147)</f>
        <v>98.226231442806835</v>
      </c>
      <c r="P11" s="73">
        <f ca="1">SUM(P$89,P$100,P$104,P$113,P$117,P$123,P$129,P$139,$D$147:P$147)</f>
        <v>101.54858552432725</v>
      </c>
      <c r="Q11" s="73">
        <f ca="1">SUM(Q$89,Q$100,Q$104,Q$113,Q$117,Q$123,Q$129,Q$139,$D$147:Q$147)</f>
        <v>105.05482973394517</v>
      </c>
      <c r="R11" s="73">
        <f ca="1">SUM(R$89,R$100,R$104,R$113,R$117,R$123,R$129,R$139,$D$147:R$147)</f>
        <v>108.83189642786485</v>
      </c>
      <c r="S11" s="73">
        <f ca="1">SUM(S$89,S$100,S$104,S$113,S$117,S$123,S$129,S$139,$D$147:S$147)</f>
        <v>112.81674763643315</v>
      </c>
      <c r="T11" s="73">
        <f ca="1">SUM(T$89,T$100,T$104,T$113,T$117,T$123,T$129,T$139,$D$147:T$147)</f>
        <v>116.96309818009787</v>
      </c>
      <c r="U11" s="73">
        <f ca="1">SUM(U$89,U$100,U$104,U$113,U$117,U$123,U$129,U$139,$D$147:U$147)</f>
        <v>121.29322102835192</v>
      </c>
      <c r="V11" s="73">
        <f ca="1">SUM(V$89,V$100,V$104,V$113,V$117,V$123,V$129,V$139,$D$147:V$147)</f>
        <v>125.7832670345382</v>
      </c>
      <c r="W11" s="73">
        <f ca="1">SUM(W$89,W$100,W$104,W$113,W$117,W$123,W$129,W$139,$D$147:W$147)</f>
        <v>130.46902732251868</v>
      </c>
      <c r="X11" s="73">
        <f ca="1">SUM(X$89,X$100,X$104,X$113,X$117,X$123,X$129,X$139,$D$147:X$147)</f>
        <v>135.31661079259172</v>
      </c>
    </row>
    <row r="12" spans="1:24" x14ac:dyDescent="0.2">
      <c r="A12" s="220" t="s">
        <v>878</v>
      </c>
      <c r="B12" s="228"/>
      <c r="C12"/>
      <c r="D12" s="69">
        <f>Data!C$11</f>
        <v>0</v>
      </c>
      <c r="E12" s="69">
        <f>Data!D$11</f>
        <v>0</v>
      </c>
      <c r="F12" s="69">
        <f>Data!E$11</f>
        <v>0</v>
      </c>
      <c r="G12" s="69">
        <f>Data!F$11</f>
        <v>0</v>
      </c>
      <c r="H12" s="69">
        <f>Data!G$11</f>
        <v>0</v>
      </c>
      <c r="I12" s="69">
        <f>Data!H$11</f>
        <v>0</v>
      </c>
      <c r="J12" s="123">
        <f>Data!I$11</f>
        <v>0.01</v>
      </c>
      <c r="K12" s="123">
        <f>Data!J$11</f>
        <v>0.14000000000000001</v>
      </c>
      <c r="L12" s="123">
        <f>Data!K$11</f>
        <v>0.2</v>
      </c>
      <c r="M12" s="123">
        <f>Data!L$11</f>
        <v>0.27</v>
      </c>
      <c r="N12" s="123">
        <f>Data!M$11</f>
        <v>0.34</v>
      </c>
      <c r="O12" s="73">
        <f t="shared" ref="O12:X12" ca="1" si="3">N$12*O$163/N$163</f>
        <v>0.35525675837811899</v>
      </c>
      <c r="P12" s="73">
        <f t="shared" ca="1" si="3"/>
        <v>0.37123995662413783</v>
      </c>
      <c r="Q12" s="73">
        <f t="shared" ca="1" si="3"/>
        <v>0.38837019559379926</v>
      </c>
      <c r="R12" s="73">
        <f t="shared" ca="1" si="3"/>
        <v>0.40633853131526482</v>
      </c>
      <c r="S12" s="73">
        <f t="shared" ca="1" si="3"/>
        <v>0.42502416606773991</v>
      </c>
      <c r="T12" s="73">
        <f t="shared" ca="1" si="3"/>
        <v>0.44421369787455262</v>
      </c>
      <c r="U12" s="73">
        <f t="shared" ca="1" si="3"/>
        <v>0.46395174209635953</v>
      </c>
      <c r="V12" s="73">
        <f t="shared" ca="1" si="3"/>
        <v>0.48445103498259245</v>
      </c>
      <c r="W12" s="73">
        <f t="shared" ca="1" si="3"/>
        <v>0.50558942406605833</v>
      </c>
      <c r="X12" s="73">
        <f t="shared" ca="1" si="3"/>
        <v>0.52732398526761515</v>
      </c>
    </row>
    <row r="13" spans="1:24" x14ac:dyDescent="0.2">
      <c r="A13" s="220" t="s">
        <v>318</v>
      </c>
      <c r="B13" s="69"/>
      <c r="C13"/>
      <c r="D13" s="69">
        <f>D$9-SUM(D$10,D$12)</f>
        <v>5.8599999999999994</v>
      </c>
      <c r="E13" s="69">
        <f t="shared" ref="E13:X13" si="4">E$9-SUM(E$10,E$12)</f>
        <v>5.6370000000000005</v>
      </c>
      <c r="F13" s="69">
        <f t="shared" si="4"/>
        <v>-3.8929999999999865</v>
      </c>
      <c r="G13" s="69">
        <f t="shared" si="4"/>
        <v>-6.3149999999999977</v>
      </c>
      <c r="H13" s="69">
        <f t="shared" si="4"/>
        <v>-18.396000000000015</v>
      </c>
      <c r="I13" s="69">
        <f t="shared" si="4"/>
        <v>-9.2400000000000091</v>
      </c>
      <c r="J13" s="123">
        <f t="shared" ca="1" si="4"/>
        <v>-6.2849999999999966</v>
      </c>
      <c r="K13" s="123">
        <f t="shared" ca="1" si="4"/>
        <v>-2.0330000000000297</v>
      </c>
      <c r="L13" s="123">
        <f ca="1">L$9-SUM(L$10,L$12)</f>
        <v>7.4999999999988631E-2</v>
      </c>
      <c r="M13" s="123">
        <f t="shared" ca="1" si="4"/>
        <v>0.79699999999998283</v>
      </c>
      <c r="N13" s="123">
        <f t="shared" ca="1" si="4"/>
        <v>2.6180000000000234</v>
      </c>
      <c r="O13" s="73">
        <f t="shared" ca="1" si="4"/>
        <v>5.0013301653317228</v>
      </c>
      <c r="P13" s="73">
        <f t="shared" ca="1" si="4"/>
        <v>6.8412725571899955</v>
      </c>
      <c r="Q13" s="73">
        <f t="shared" ca="1" si="4"/>
        <v>8.9060301697336968</v>
      </c>
      <c r="R13" s="73">
        <f t="shared" ca="1" si="4"/>
        <v>10.964746149018012</v>
      </c>
      <c r="S13" s="73">
        <f t="shared" ca="1" si="4"/>
        <v>12.823637343393884</v>
      </c>
      <c r="T13" s="73">
        <f t="shared" ca="1" si="4"/>
        <v>14.758619788014343</v>
      </c>
      <c r="U13" s="73">
        <f t="shared" ca="1" si="4"/>
        <v>16.785305456795442</v>
      </c>
      <c r="V13" s="73">
        <f t="shared" ca="1" si="4"/>
        <v>19.001458186678605</v>
      </c>
      <c r="W13" s="73">
        <f t="shared" ca="1" si="4"/>
        <v>21.350938531338414</v>
      </c>
      <c r="X13" s="73">
        <f t="shared" ca="1" si="4"/>
        <v>23.92707513815634</v>
      </c>
    </row>
    <row r="14" spans="1:24" x14ac:dyDescent="0.2">
      <c r="A14" s="220" t="s">
        <v>553</v>
      </c>
      <c r="B14" s="228"/>
      <c r="C14"/>
      <c r="D14" s="69">
        <f>SUM(Data!C$13:C$15,-Data!C$16)</f>
        <v>2.1629999999999998</v>
      </c>
      <c r="E14" s="69">
        <f>SUM(Data!D$13:D$15,-Data!D$16)</f>
        <v>-3.2530000000000001</v>
      </c>
      <c r="F14" s="69">
        <f>SUM(Data!E$13:E$15,-Data!E$16)</f>
        <v>-6.612000000000001</v>
      </c>
      <c r="G14" s="69">
        <f>SUM(Data!F$13:F$15,-Data!F$16)</f>
        <v>1.806</v>
      </c>
      <c r="H14" s="69">
        <f>SUM(Data!G$13:G$15,-Data!G$16)</f>
        <v>5.0360000000000005</v>
      </c>
      <c r="I14" s="69">
        <f>SUM(Data!H$13:H$15,-Data!H$16)</f>
        <v>-5.657</v>
      </c>
      <c r="J14" s="123">
        <f>SUM(Data!I$13:I$15,-Data!I$16) + IF($L$1="Yes",J$349,0)</f>
        <v>8.2029999999999994</v>
      </c>
      <c r="K14" s="123">
        <f>SUM(Data!J$13:J$15,-Data!J$16) + IF($L$1="Yes",K$349,0)</f>
        <v>2.391</v>
      </c>
      <c r="L14" s="123">
        <f>SUM(Data!K$13:K$15,-Data!K$16) + IF($L$1="Yes",L$349,0)</f>
        <v>2.64</v>
      </c>
      <c r="M14" s="123">
        <f>SUM(Data!L$13:L$15,-Data!L$16) + IF($L$1="Yes",M$349,0)</f>
        <v>2.6890000000000001</v>
      </c>
      <c r="N14" s="123">
        <f>SUM(Data!M$13:M$15,-Data!M$16) + IF($L$1="Yes",N$349,0)</f>
        <v>2.7950000000000004</v>
      </c>
      <c r="O14" s="73">
        <f t="shared" ref="O14:X14" ca="1" si="5">SUM(N$14,(O$172-N$172),(N$14-N$23)*O$245)</f>
        <v>2.602975399418253</v>
      </c>
      <c r="P14" s="73">
        <f t="shared" ca="1" si="5"/>
        <v>2.7495400856491505</v>
      </c>
      <c r="Q14" s="73">
        <f t="shared" ca="1" si="5"/>
        <v>2.9075964523268754</v>
      </c>
      <c r="R14" s="73">
        <f t="shared" ca="1" si="5"/>
        <v>3.1461439773751891</v>
      </c>
      <c r="S14" s="73">
        <f t="shared" ca="1" si="5"/>
        <v>3.4677223258923378</v>
      </c>
      <c r="T14" s="73">
        <f t="shared" ca="1" si="5"/>
        <v>3.7824993967979341</v>
      </c>
      <c r="U14" s="73">
        <f t="shared" ca="1" si="5"/>
        <v>4.1057471269382591</v>
      </c>
      <c r="V14" s="73">
        <f t="shared" ca="1" si="5"/>
        <v>4.4362686782524481</v>
      </c>
      <c r="W14" s="73">
        <f t="shared" ca="1" si="5"/>
        <v>4.772032678747073</v>
      </c>
      <c r="X14" s="73">
        <f t="shared" ca="1" si="5"/>
        <v>5.1105851486561678</v>
      </c>
    </row>
    <row r="15" spans="1:24" x14ac:dyDescent="0.2">
      <c r="A15" s="220" t="s">
        <v>128</v>
      </c>
      <c r="B15" s="70"/>
      <c r="C15"/>
      <c r="D15" s="69">
        <f t="shared" ref="D15:X15" si="6">SUM(D$13,D$14)</f>
        <v>8.0229999999999997</v>
      </c>
      <c r="E15" s="69">
        <f t="shared" si="6"/>
        <v>2.3840000000000003</v>
      </c>
      <c r="F15" s="69">
        <f t="shared" si="6"/>
        <v>-10.504999999999988</v>
      </c>
      <c r="G15" s="69">
        <f t="shared" si="6"/>
        <v>-4.5089999999999977</v>
      </c>
      <c r="H15" s="69">
        <f t="shared" si="6"/>
        <v>-13.360000000000014</v>
      </c>
      <c r="I15" s="69">
        <f t="shared" si="6"/>
        <v>-14.897000000000009</v>
      </c>
      <c r="J15" s="123">
        <f t="shared" ca="1" si="6"/>
        <v>1.9180000000000028</v>
      </c>
      <c r="K15" s="123">
        <f t="shared" ca="1" si="6"/>
        <v>0.35799999999997034</v>
      </c>
      <c r="L15" s="123">
        <f t="shared" ca="1" si="6"/>
        <v>2.7149999999999888</v>
      </c>
      <c r="M15" s="123">
        <f t="shared" ca="1" si="6"/>
        <v>3.4859999999999829</v>
      </c>
      <c r="N15" s="123">
        <f t="shared" ca="1" si="6"/>
        <v>5.4130000000000233</v>
      </c>
      <c r="O15" s="73">
        <f t="shared" ca="1" si="6"/>
        <v>7.6043055647499758</v>
      </c>
      <c r="P15" s="73">
        <f t="shared" ca="1" si="6"/>
        <v>9.5908126428391469</v>
      </c>
      <c r="Q15" s="73">
        <f t="shared" ca="1" si="6"/>
        <v>11.813626622060571</v>
      </c>
      <c r="R15" s="73">
        <f t="shared" ca="1" si="6"/>
        <v>14.110890126393201</v>
      </c>
      <c r="S15" s="73">
        <f t="shared" ca="1" si="6"/>
        <v>16.291359669286223</v>
      </c>
      <c r="T15" s="73">
        <f t="shared" ca="1" si="6"/>
        <v>18.541119184812278</v>
      </c>
      <c r="U15" s="73">
        <f t="shared" ca="1" si="6"/>
        <v>20.8910525837337</v>
      </c>
      <c r="V15" s="73">
        <f t="shared" ca="1" si="6"/>
        <v>23.437726864931051</v>
      </c>
      <c r="W15" s="73">
        <f t="shared" ca="1" si="6"/>
        <v>26.122971210085488</v>
      </c>
      <c r="X15" s="73">
        <f t="shared" ca="1" si="6"/>
        <v>29.037660286812507</v>
      </c>
    </row>
    <row r="16" spans="1:24" x14ac:dyDescent="0.2">
      <c r="A16" s="27" t="s">
        <v>161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220" t="s">
        <v>667</v>
      </c>
      <c r="B17" s="69"/>
      <c r="C17"/>
      <c r="D17" s="69">
        <f t="shared" ref="D17:X17" si="7">D$56</f>
        <v>53.476999999999997</v>
      </c>
      <c r="E17" s="69">
        <f t="shared" si="7"/>
        <v>56.747</v>
      </c>
      <c r="F17" s="69">
        <f t="shared" si="7"/>
        <v>54.680999999999997</v>
      </c>
      <c r="G17" s="69">
        <f t="shared" si="7"/>
        <v>50.744</v>
      </c>
      <c r="H17" s="69">
        <f t="shared" si="7"/>
        <v>51.557000000000002</v>
      </c>
      <c r="I17" s="69">
        <f t="shared" si="7"/>
        <v>55.081000000000003</v>
      </c>
      <c r="J17" s="123">
        <f t="shared" ca="1" si="7"/>
        <v>58.286000000000001</v>
      </c>
      <c r="K17" s="123">
        <f t="shared" ca="1" si="7"/>
        <v>62.383000000000003</v>
      </c>
      <c r="L17" s="123">
        <f t="shared" ca="1" si="7"/>
        <v>66.08</v>
      </c>
      <c r="M17" s="123">
        <f t="shared" ca="1" si="7"/>
        <v>69.679000000000002</v>
      </c>
      <c r="N17" s="123">
        <f t="shared" ca="1" si="7"/>
        <v>72.819999999999993</v>
      </c>
      <c r="O17" s="73">
        <f t="shared" ca="1" si="7"/>
        <v>76.935250939927315</v>
      </c>
      <c r="P17" s="73">
        <f t="shared" ca="1" si="7"/>
        <v>80.843877908647173</v>
      </c>
      <c r="Q17" s="73">
        <f t="shared" ca="1" si="7"/>
        <v>84.982587363103889</v>
      </c>
      <c r="R17" s="73">
        <f t="shared" ca="1" si="7"/>
        <v>89.226985341863397</v>
      </c>
      <c r="S17" s="73">
        <f t="shared" ca="1" si="7"/>
        <v>93.330122823720686</v>
      </c>
      <c r="T17" s="73">
        <f t="shared" ca="1" si="7"/>
        <v>97.543909952648505</v>
      </c>
      <c r="U17" s="73">
        <f t="shared" ca="1" si="7"/>
        <v>101.87814371767088</v>
      </c>
      <c r="V17" s="73">
        <f t="shared" ca="1" si="7"/>
        <v>106.37953840440645</v>
      </c>
      <c r="W17" s="73">
        <f t="shared" ca="1" si="7"/>
        <v>111.02127082096048</v>
      </c>
      <c r="X17" s="73">
        <f t="shared" ca="1" si="7"/>
        <v>115.79391536310085</v>
      </c>
    </row>
    <row r="18" spans="1:24" x14ac:dyDescent="0.2">
      <c r="A18" s="220" t="s">
        <v>316</v>
      </c>
      <c r="B18" s="69"/>
      <c r="C18"/>
      <c r="D18" s="69">
        <f t="shared" ref="D18:X18" si="8">SUM(D$17,D$61,D$69)</f>
        <v>58.210999999999999</v>
      </c>
      <c r="E18" s="69">
        <f t="shared" si="8"/>
        <v>61.819000000000003</v>
      </c>
      <c r="F18" s="69">
        <f t="shared" si="8"/>
        <v>59.481999999999999</v>
      </c>
      <c r="G18" s="69">
        <f t="shared" si="8"/>
        <v>56.216000000000001</v>
      </c>
      <c r="H18" s="69">
        <f t="shared" si="8"/>
        <v>57.55</v>
      </c>
      <c r="I18" s="69">
        <f t="shared" si="8"/>
        <v>60.565000000000005</v>
      </c>
      <c r="J18" s="123">
        <f t="shared" ca="1" si="8"/>
        <v>63.808999999999997</v>
      </c>
      <c r="K18" s="123">
        <f t="shared" ca="1" si="8"/>
        <v>68.382000000000005</v>
      </c>
      <c r="L18" s="123">
        <f t="shared" ca="1" si="8"/>
        <v>72.278999999999996</v>
      </c>
      <c r="M18" s="123">
        <f t="shared" ca="1" si="8"/>
        <v>75.844999999999999</v>
      </c>
      <c r="N18" s="123">
        <f t="shared" ca="1" si="8"/>
        <v>79.488</v>
      </c>
      <c r="O18" s="73">
        <f t="shared" ca="1" si="8"/>
        <v>83.342377845735442</v>
      </c>
      <c r="P18" s="73">
        <f t="shared" ca="1" si="8"/>
        <v>87.422217961747663</v>
      </c>
      <c r="Q18" s="73">
        <f t="shared" ca="1" si="8"/>
        <v>91.739726749913018</v>
      </c>
      <c r="R18" s="73">
        <f t="shared" ca="1" si="8"/>
        <v>96.207826633862425</v>
      </c>
      <c r="S18" s="73">
        <f t="shared" ca="1" si="8"/>
        <v>100.58212509562023</v>
      </c>
      <c r="T18" s="73">
        <f t="shared" ca="1" si="8"/>
        <v>105.06585369444642</v>
      </c>
      <c r="U18" s="73">
        <f t="shared" ca="1" si="8"/>
        <v>109.67795256037235</v>
      </c>
      <c r="V18" s="73">
        <f t="shared" ca="1" si="8"/>
        <v>114.46325804655295</v>
      </c>
      <c r="W18" s="73">
        <f t="shared" ca="1" si="8"/>
        <v>119.39506605037766</v>
      </c>
      <c r="X18" s="73">
        <f t="shared" ca="1" si="8"/>
        <v>124.46274051274389</v>
      </c>
    </row>
    <row r="19" spans="1:24" x14ac:dyDescent="0.2">
      <c r="A19" s="220" t="s">
        <v>317</v>
      </c>
      <c r="B19" s="69"/>
      <c r="C19"/>
      <c r="D19" s="69">
        <f>SUM(D$20,D$142)</f>
        <v>54.003</v>
      </c>
      <c r="E19" s="69">
        <f t="shared" ref="E19:X19" si="9">SUM(E$20,E$142)</f>
        <v>56.997</v>
      </c>
      <c r="F19" s="69">
        <f t="shared" si="9"/>
        <v>64.001999999999995</v>
      </c>
      <c r="G19" s="69">
        <f t="shared" si="9"/>
        <v>64.013000000000005</v>
      </c>
      <c r="H19" s="69">
        <f t="shared" si="9"/>
        <v>70.45</v>
      </c>
      <c r="I19" s="69">
        <f t="shared" si="9"/>
        <v>69.075999999999979</v>
      </c>
      <c r="J19" s="263">
        <f t="shared" ca="1" si="9"/>
        <v>71.649000000000001</v>
      </c>
      <c r="K19" s="263">
        <f t="shared" ca="1" si="9"/>
        <v>72.367000000000004</v>
      </c>
      <c r="L19" s="263">
        <f t="shared" ca="1" si="9"/>
        <v>73.456999999999979</v>
      </c>
      <c r="M19" s="263">
        <f t="shared" ca="1" si="9"/>
        <v>75.177999999999983</v>
      </c>
      <c r="N19" s="263">
        <f t="shared" ca="1" si="9"/>
        <v>77.191000000000003</v>
      </c>
      <c r="O19" s="258">
        <f t="shared" ca="1" si="9"/>
        <v>78.703918894751823</v>
      </c>
      <c r="P19" s="258">
        <f t="shared" ca="1" si="9"/>
        <v>80.981053648941966</v>
      </c>
      <c r="Q19" s="258">
        <f t="shared" ca="1" si="9"/>
        <v>83.254768097148485</v>
      </c>
      <c r="R19" s="258">
        <f t="shared" ca="1" si="9"/>
        <v>85.673756836979877</v>
      </c>
      <c r="S19" s="258">
        <f t="shared" ca="1" si="9"/>
        <v>88.185254375404654</v>
      </c>
      <c r="T19" s="258">
        <f t="shared" ca="1" si="9"/>
        <v>90.705947031773761</v>
      </c>
      <c r="U19" s="258">
        <f t="shared" ca="1" si="9"/>
        <v>93.239452610103683</v>
      </c>
      <c r="V19" s="258">
        <f t="shared" ca="1" si="9"/>
        <v>95.731361862879268</v>
      </c>
      <c r="W19" s="258">
        <f t="shared" ca="1" si="9"/>
        <v>98.202893347633818</v>
      </c>
      <c r="X19" s="258">
        <f t="shared" ca="1" si="9"/>
        <v>100.58384252549439</v>
      </c>
    </row>
    <row r="20" spans="1:24" x14ac:dyDescent="0.2">
      <c r="A20" s="220" t="s">
        <v>322</v>
      </c>
      <c r="B20" s="69"/>
      <c r="C20"/>
      <c r="D20" s="262">
        <f>SUM(D$87,D$99,D$103,D$112,D$116,D$122,D$128,D$138,$D$147:D$147)</f>
        <v>51.673999999999999</v>
      </c>
      <c r="E20" s="262">
        <f>SUM(E$87,E$99,E$103,E$112,E$116,E$122,E$128,E$138,$D$147:E$147)</f>
        <v>54.536999999999999</v>
      </c>
      <c r="F20" s="262">
        <f>SUM(F$87,F$99,F$103,F$112,F$116,F$122,F$128,F$138,$D$147:F$147)</f>
        <v>61.572999999999993</v>
      </c>
      <c r="G20" s="262">
        <f>SUM(G$87,G$99,G$103,G$112,G$116,G$122,G$128,G$138,$D$147:G$147)</f>
        <v>61.701999999999998</v>
      </c>
      <c r="H20" s="262">
        <f>SUM(H$87,H$99,H$103,H$112,H$116,H$122,H$128,H$138,$D$147:H$147)</f>
        <v>67.384</v>
      </c>
      <c r="I20" s="262">
        <f>SUM(I$87,I$99,I$103,I$112,I$116,I$122,I$128,I$138,$D$147:I$147)</f>
        <v>65.564999999999984</v>
      </c>
      <c r="J20" s="263">
        <f ca="1">SUM(J$87,J$99,J$103,J$112,J$116,J$122,J$128,J$138,$D$147:J$147)</f>
        <v>68.091999999999999</v>
      </c>
      <c r="K20" s="263">
        <f ca="1">SUM(K$87,K$99,K$103,K$112,K$116,K$122,K$128,K$138,$D$147:K$147)</f>
        <v>68.745000000000005</v>
      </c>
      <c r="L20" s="263">
        <f ca="1">SUM(L$87,L$99,L$103,L$112,L$116,L$122,L$128,L$138,$D$147:L$147)</f>
        <v>69.528999999999982</v>
      </c>
      <c r="M20" s="263">
        <f ca="1">SUM(M$87,M$99,M$103,M$112,M$116,M$122,M$128,M$138,$D$147:M$147)</f>
        <v>71.294999999999987</v>
      </c>
      <c r="N20" s="263">
        <f ca="1">SUM(N$87,N$99,N$103,N$112,N$116,N$122,N$128,N$138,$D$147:N$147)</f>
        <v>72.918000000000006</v>
      </c>
      <c r="O20" s="258">
        <f ca="1">SUM(O$87,O$99,O$103,O$112,O$116,O$122,O$128,O$138,$D$147:O$147)</f>
        <v>74.204304436263271</v>
      </c>
      <c r="P20" s="258">
        <f ca="1">SUM(P$87,P$99,P$103,P$112,P$116,P$122,P$128,P$138,$D$147:P$147)</f>
        <v>76.473894660577741</v>
      </c>
      <c r="Q20" s="258">
        <f ca="1">SUM(Q$87,Q$99,Q$103,Q$112,Q$116,Q$122,Q$128,Q$138,$D$147:Q$147)</f>
        <v>78.845839425056695</v>
      </c>
      <c r="R20" s="258">
        <f ca="1">SUM(R$87,R$99,R$103,R$112,R$116,R$122,R$128,R$138,$D$147:R$147)</f>
        <v>81.434134351325099</v>
      </c>
      <c r="S20" s="258">
        <f ca="1">SUM(S$87,S$99,S$103,S$112,S$116,S$122,S$128,S$138,$D$147:S$147)</f>
        <v>84.182447091411774</v>
      </c>
      <c r="T20" s="258">
        <f ca="1">SUM(T$87,T$99,T$103,T$112,T$116,T$122,T$128,T$138,$D$147:T$147)</f>
        <v>87.054588068778273</v>
      </c>
      <c r="U20" s="258">
        <f ca="1">SUM(U$87,U$99,U$103,U$112,U$116,U$122,U$128,U$138,$D$147:U$147)</f>
        <v>90.073619945147044</v>
      </c>
      <c r="V20" s="258">
        <f ca="1">SUM(V$87,V$99,V$103,V$112,V$116,V$122,V$128,V$138,$D$147:V$147)</f>
        <v>93.203872028113352</v>
      </c>
      <c r="W20" s="258">
        <f ca="1">SUM(W$87,W$99,W$103,W$112,W$116,W$122,W$128,W$138,$D$147:W$147)</f>
        <v>96.486906630682597</v>
      </c>
      <c r="X20" s="258">
        <f ca="1">SUM(X$87,X$99,X$103,X$112,X$116,X$122,X$128,X$138,$D$147:X$147)</f>
        <v>99.889883753047584</v>
      </c>
    </row>
    <row r="21" spans="1:24" x14ac:dyDescent="0.2">
      <c r="A21" s="220" t="s">
        <v>1051</v>
      </c>
      <c r="B21" s="69"/>
      <c r="C21"/>
      <c r="D21" s="69">
        <f>SUM(D$17,D$61,D$65,D$66,D$68)</f>
        <v>58.210999999999999</v>
      </c>
      <c r="E21" s="69">
        <f t="shared" ref="E21:X21" si="10">SUM(E$17,E$61,E$65,E$66,E$68)</f>
        <v>61.818999999999996</v>
      </c>
      <c r="F21" s="69">
        <f t="shared" si="10"/>
        <v>59.482000000000006</v>
      </c>
      <c r="G21" s="69">
        <f t="shared" si="10"/>
        <v>56.216000000000001</v>
      </c>
      <c r="H21" s="69">
        <f t="shared" si="10"/>
        <v>57.550000000000004</v>
      </c>
      <c r="I21" s="69">
        <f t="shared" si="10"/>
        <v>60.565000000000005</v>
      </c>
      <c r="J21" s="123">
        <f t="shared" ca="1" si="10"/>
        <v>63.809000000000005</v>
      </c>
      <c r="K21" s="123">
        <f t="shared" ca="1" si="10"/>
        <v>68.382000000000005</v>
      </c>
      <c r="L21" s="123">
        <f t="shared" ca="1" si="10"/>
        <v>72.278999999999996</v>
      </c>
      <c r="M21" s="123">
        <f t="shared" ca="1" si="10"/>
        <v>75.844999999999999</v>
      </c>
      <c r="N21" s="123">
        <f t="shared" ca="1" si="10"/>
        <v>79.488</v>
      </c>
      <c r="O21" s="258">
        <f t="shared" ca="1" si="10"/>
        <v>83.342377845735442</v>
      </c>
      <c r="P21" s="258">
        <f t="shared" ca="1" si="10"/>
        <v>87.422217961747663</v>
      </c>
      <c r="Q21" s="258">
        <f t="shared" ca="1" si="10"/>
        <v>91.739726749913018</v>
      </c>
      <c r="R21" s="258">
        <f t="shared" ca="1" si="10"/>
        <v>96.207826633862439</v>
      </c>
      <c r="S21" s="258">
        <f t="shared" ca="1" si="10"/>
        <v>100.58212509562023</v>
      </c>
      <c r="T21" s="258">
        <f t="shared" ca="1" si="10"/>
        <v>105.06585369444642</v>
      </c>
      <c r="U21" s="258">
        <f t="shared" ca="1" si="10"/>
        <v>109.67795256037233</v>
      </c>
      <c r="V21" s="258">
        <f t="shared" ca="1" si="10"/>
        <v>114.46325804655295</v>
      </c>
      <c r="W21" s="258">
        <f t="shared" ca="1" si="10"/>
        <v>119.39506605037766</v>
      </c>
      <c r="X21" s="258">
        <f t="shared" ca="1" si="10"/>
        <v>124.46274051274391</v>
      </c>
    </row>
    <row r="22" spans="1:24" x14ac:dyDescent="0.2">
      <c r="A22" s="220" t="s">
        <v>318</v>
      </c>
      <c r="B22" s="69"/>
      <c r="C22"/>
      <c r="D22" s="262">
        <f t="shared" ref="D22:X22" si="11">D$18-D$19</f>
        <v>4.2079999999999984</v>
      </c>
      <c r="E22" s="262">
        <f t="shared" si="11"/>
        <v>4.8220000000000027</v>
      </c>
      <c r="F22" s="262">
        <f t="shared" si="11"/>
        <v>-4.519999999999996</v>
      </c>
      <c r="G22" s="262">
        <f t="shared" si="11"/>
        <v>-7.7970000000000041</v>
      </c>
      <c r="H22" s="262">
        <f t="shared" si="11"/>
        <v>-12.900000000000006</v>
      </c>
      <c r="I22" s="262">
        <f t="shared" si="11"/>
        <v>-8.5109999999999744</v>
      </c>
      <c r="J22" s="123">
        <f t="shared" ca="1" si="11"/>
        <v>-7.8400000000000034</v>
      </c>
      <c r="K22" s="123">
        <f t="shared" ca="1" si="11"/>
        <v>-3.9849999999999994</v>
      </c>
      <c r="L22" s="123">
        <f t="shared" ca="1" si="11"/>
        <v>-1.1779999999999831</v>
      </c>
      <c r="M22" s="123">
        <f t="shared" ca="1" si="11"/>
        <v>0.6670000000000158</v>
      </c>
      <c r="N22" s="123">
        <f t="shared" ca="1" si="11"/>
        <v>2.296999999999997</v>
      </c>
      <c r="O22" s="73">
        <f t="shared" ca="1" si="11"/>
        <v>4.6384589509836189</v>
      </c>
      <c r="P22" s="73">
        <f t="shared" ca="1" si="11"/>
        <v>6.4411643128056966</v>
      </c>
      <c r="Q22" s="73">
        <f t="shared" ca="1" si="11"/>
        <v>8.4849586527645329</v>
      </c>
      <c r="R22" s="73">
        <f t="shared" ca="1" si="11"/>
        <v>10.534069796882548</v>
      </c>
      <c r="S22" s="73">
        <f t="shared" ca="1" si="11"/>
        <v>12.396870720215574</v>
      </c>
      <c r="T22" s="73">
        <f t="shared" ca="1" si="11"/>
        <v>14.359906662672657</v>
      </c>
      <c r="U22" s="73">
        <f t="shared" ca="1" si="11"/>
        <v>16.438499950268664</v>
      </c>
      <c r="V22" s="73">
        <f t="shared" ca="1" si="11"/>
        <v>18.731896183673683</v>
      </c>
      <c r="W22" s="73">
        <f t="shared" ca="1" si="11"/>
        <v>21.192172702743846</v>
      </c>
      <c r="X22" s="73">
        <f t="shared" ca="1" si="11"/>
        <v>23.878897987249502</v>
      </c>
    </row>
    <row r="23" spans="1:24" x14ac:dyDescent="0.2">
      <c r="A23" s="220" t="s">
        <v>553</v>
      </c>
      <c r="B23" s="228"/>
      <c r="C23"/>
      <c r="D23" s="69">
        <f>SUM(Data!C$106:C$107)</f>
        <v>2.3029999999999999</v>
      </c>
      <c r="E23" s="69">
        <f>SUM(Data!D$106:D$107)</f>
        <v>-0.93100000000000005</v>
      </c>
      <c r="F23" s="69">
        <f>SUM(Data!E$106:E$107)</f>
        <v>-1.3420000000000001</v>
      </c>
      <c r="G23" s="69">
        <f>SUM(Data!F$106:F$107)</f>
        <v>0.79700000000000004</v>
      </c>
      <c r="H23" s="69">
        <f>SUM(Data!G$106:G$107)</f>
        <v>3.633</v>
      </c>
      <c r="I23" s="69">
        <f>SUM(Data!H$106:H$107)</f>
        <v>-3.16</v>
      </c>
      <c r="J23" s="123">
        <f>SUM(Data!I$106:I$107) + IF($L$1="Yes",J$349,0)</f>
        <v>5.1400000000000006</v>
      </c>
      <c r="K23" s="123">
        <f>SUM(Data!J$106:J$107) + IF($L$1="Yes",K$349,0)</f>
        <v>1.736</v>
      </c>
      <c r="L23" s="123">
        <f>SUM(Data!K$106:K$107) + IF($L$1="Yes",L$349,0)</f>
        <v>1.829</v>
      </c>
      <c r="M23" s="123">
        <f>SUM(Data!L$106:L$107) + IF($L$1="Yes",M$349,0)</f>
        <v>1.8859999999999999</v>
      </c>
      <c r="N23" s="123">
        <f>SUM(Data!M$106:M$107) + IF($L$1="Yes",N$349,0)</f>
        <v>1.9549999999999998</v>
      </c>
      <c r="O23" s="258">
        <f t="shared" ref="O23:X23" si="12">SUM(N$23,O$172-N$172)</f>
        <v>1.7252822316605467</v>
      </c>
      <c r="P23" s="258">
        <f t="shared" si="12"/>
        <v>1.8323590163424563</v>
      </c>
      <c r="Q23" s="258">
        <f t="shared" si="12"/>
        <v>1.948093616153959</v>
      </c>
      <c r="R23" s="258">
        <f t="shared" si="12"/>
        <v>2.1422487823610048</v>
      </c>
      <c r="S23" s="258">
        <f t="shared" si="12"/>
        <v>2.4176626214896855</v>
      </c>
      <c r="T23" s="258">
        <f t="shared" si="12"/>
        <v>2.6850302608725682</v>
      </c>
      <c r="U23" s="258">
        <f t="shared" si="12"/>
        <v>2.9595134111707817</v>
      </c>
      <c r="V23" s="258">
        <f t="shared" si="12"/>
        <v>3.2393896506483948</v>
      </c>
      <c r="W23" s="258">
        <f t="shared" si="12"/>
        <v>3.5229293957603396</v>
      </c>
      <c r="X23" s="258">
        <f t="shared" si="12"/>
        <v>3.8077847144655883</v>
      </c>
    </row>
    <row r="24" spans="1:24" x14ac:dyDescent="0.2">
      <c r="A24" s="220" t="s">
        <v>128</v>
      </c>
      <c r="B24" s="69"/>
      <c r="C24"/>
      <c r="D24" s="262">
        <f>SUM(D$22,D$23)</f>
        <v>6.5109999999999983</v>
      </c>
      <c r="E24" s="262">
        <f t="shared" ref="E24:X24" si="13">SUM(E$22,E$23)</f>
        <v>3.8910000000000027</v>
      </c>
      <c r="F24" s="262">
        <f t="shared" si="13"/>
        <v>-5.8619999999999965</v>
      </c>
      <c r="G24" s="262">
        <f t="shared" si="13"/>
        <v>-7.0000000000000044</v>
      </c>
      <c r="H24" s="262">
        <f t="shared" si="13"/>
        <v>-9.2670000000000066</v>
      </c>
      <c r="I24" s="262">
        <f t="shared" si="13"/>
        <v>-11.670999999999975</v>
      </c>
      <c r="J24" s="123">
        <f t="shared" ca="1" si="13"/>
        <v>-2.7000000000000028</v>
      </c>
      <c r="K24" s="123">
        <f t="shared" ca="1" si="13"/>
        <v>-2.2489999999999997</v>
      </c>
      <c r="L24" s="123">
        <f t="shared" ca="1" si="13"/>
        <v>0.6510000000000169</v>
      </c>
      <c r="M24" s="123">
        <f t="shared" ca="1" si="13"/>
        <v>2.5530000000000159</v>
      </c>
      <c r="N24" s="123">
        <f t="shared" ca="1" si="13"/>
        <v>4.2519999999999971</v>
      </c>
      <c r="O24" s="73">
        <f t="shared" ca="1" si="13"/>
        <v>6.3637411826441657</v>
      </c>
      <c r="P24" s="73">
        <f t="shared" ca="1" si="13"/>
        <v>8.2735233291481531</v>
      </c>
      <c r="Q24" s="73">
        <f t="shared" ca="1" si="13"/>
        <v>10.433052268918491</v>
      </c>
      <c r="R24" s="73">
        <f t="shared" ca="1" si="13"/>
        <v>12.676318579243553</v>
      </c>
      <c r="S24" s="73">
        <f t="shared" ca="1" si="13"/>
        <v>14.81453334170526</v>
      </c>
      <c r="T24" s="73">
        <f t="shared" ca="1" si="13"/>
        <v>17.044936923545226</v>
      </c>
      <c r="U24" s="73">
        <f t="shared" ca="1" si="13"/>
        <v>19.398013361439446</v>
      </c>
      <c r="V24" s="73">
        <f t="shared" ca="1" si="13"/>
        <v>21.971285834322078</v>
      </c>
      <c r="W24" s="73">
        <f t="shared" ca="1" si="13"/>
        <v>24.715102098504186</v>
      </c>
      <c r="X24" s="73">
        <f t="shared" ca="1" si="13"/>
        <v>27.686682701715089</v>
      </c>
    </row>
    <row r="25" spans="1:24" x14ac:dyDescent="0.2">
      <c r="A25" s="220" t="s">
        <v>802</v>
      </c>
      <c r="B25" s="69"/>
      <c r="C25"/>
      <c r="D25" s="262">
        <f t="shared" ref="D25:X25" si="14">(D$18-D$69)-(D$19-D$142)</f>
        <v>3.9570000000000007</v>
      </c>
      <c r="E25" s="262">
        <f t="shared" si="14"/>
        <v>4.9380000000000024</v>
      </c>
      <c r="F25" s="262">
        <f t="shared" si="14"/>
        <v>-3.9629999999999939</v>
      </c>
      <c r="G25" s="262">
        <f t="shared" si="14"/>
        <v>-7.6210000000000022</v>
      </c>
      <c r="H25" s="262">
        <f t="shared" si="14"/>
        <v>-12.003</v>
      </c>
      <c r="I25" s="262">
        <f t="shared" si="14"/>
        <v>-6.7949999999999804</v>
      </c>
      <c r="J25" s="123">
        <f t="shared" ca="1" si="14"/>
        <v>-6.4789999999999992</v>
      </c>
      <c r="K25" s="123">
        <f t="shared" ca="1" si="14"/>
        <v>-3.0019999999999953</v>
      </c>
      <c r="L25" s="123">
        <f t="shared" ca="1" si="14"/>
        <v>-0.15799999999998704</v>
      </c>
      <c r="M25" s="123">
        <f t="shared" ca="1" si="14"/>
        <v>1.5050000000000097</v>
      </c>
      <c r="N25" s="123">
        <f t="shared" ca="1" si="14"/>
        <v>3.0659999999999883</v>
      </c>
      <c r="O25" s="73">
        <f t="shared" ca="1" si="14"/>
        <v>5.7012787802427738</v>
      </c>
      <c r="P25" s="73">
        <f t="shared" ca="1" si="14"/>
        <v>7.3997221701797429</v>
      </c>
      <c r="Q25" s="73">
        <f t="shared" ca="1" si="14"/>
        <v>9.2270816385997136</v>
      </c>
      <c r="R25" s="73">
        <f t="shared" ca="1" si="14"/>
        <v>10.94499136510187</v>
      </c>
      <c r="S25" s="73">
        <f t="shared" ca="1" si="14"/>
        <v>12.362858914363756</v>
      </c>
      <c r="T25" s="73">
        <f t="shared" ca="1" si="14"/>
        <v>13.768808729566175</v>
      </c>
      <c r="U25" s="73">
        <f t="shared" ca="1" si="14"/>
        <v>15.149600355133686</v>
      </c>
      <c r="V25" s="73">
        <f t="shared" ca="1" si="14"/>
        <v>16.587644490555149</v>
      </c>
      <c r="W25" s="73">
        <f t="shared" ca="1" si="14"/>
        <v>18.014581866825182</v>
      </c>
      <c r="X25" s="73">
        <f t="shared" ca="1" si="14"/>
        <v>19.453853640131513</v>
      </c>
    </row>
    <row r="26" spans="1:24" ht="15.75" customHeight="1" x14ac:dyDescent="0.25">
      <c r="A26" s="150" t="s">
        <v>385</v>
      </c>
      <c r="B26" s="257"/>
      <c r="C26"/>
      <c r="D26" s="262"/>
      <c r="E26" s="262"/>
      <c r="F26" s="262"/>
      <c r="G26" s="262"/>
      <c r="H26" s="262"/>
      <c r="I26" s="262"/>
      <c r="J26" s="123"/>
      <c r="K26" s="123"/>
      <c r="L26" s="123"/>
      <c r="M26" s="123"/>
      <c r="N26" s="123"/>
    </row>
    <row r="27" spans="1:24" x14ac:dyDescent="0.2">
      <c r="A27" s="27" t="s">
        <v>160</v>
      </c>
      <c r="B27" s="7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 s="220" t="s">
        <v>674</v>
      </c>
      <c r="B28" s="70"/>
      <c r="C28"/>
      <c r="D28" s="69">
        <f>SUM(D$152,D$154,D$164,D$166,D$186,D$201,$D$203:D$203,D$211)</f>
        <v>180.34899999999999</v>
      </c>
      <c r="E28" s="69">
        <f>SUM(E$152,E$154,E$164,E$166,E$186,E$201,$D$203:E$203,E$211)</f>
        <v>200.83500000000001</v>
      </c>
      <c r="F28" s="69">
        <f>SUM(F$152,F$154,F$164,F$166,F$186,F$201,$D$203:F$203,F$211)</f>
        <v>217.15100000000001</v>
      </c>
      <c r="G28" s="69">
        <f>SUM(G$152,G$154,G$164,G$166,G$186,G$201,$D$203:G$203,G$211)</f>
        <v>223.35499999999999</v>
      </c>
      <c r="H28" s="69">
        <f>SUM(H$152,H$154,H$164,H$166,H$186,H$201,$D$203:H$203,H$211)</f>
        <v>245.215</v>
      </c>
      <c r="I28" s="69">
        <f>SUM(I$152,I$154,I$164,I$166,I$186,I$201,$D$203:I$203,I$211)</f>
        <v>240.31800000000001</v>
      </c>
      <c r="J28" s="123">
        <f ca="1">SUM(J$152,J$154,J$164,J$166,J$186,J$201,$D$203:J$203,J$211)</f>
        <v>240.685</v>
      </c>
      <c r="K28" s="123">
        <f ca="1">SUM(K$152,K$154,K$164,K$166,K$186,K$201,$D$203:K$203,K$211)</f>
        <v>250.178</v>
      </c>
      <c r="L28" s="123">
        <f ca="1">SUM(L$152,L$154,L$164,L$166,L$186,L$201,$D$203:L$203,L$211)</f>
        <v>248.905</v>
      </c>
      <c r="M28" s="123">
        <f ca="1">SUM(M$152,M$154,M$164,M$166,M$186,M$201,$D$203:M$203,M$211)</f>
        <v>258.94400000000002</v>
      </c>
      <c r="N28" s="123">
        <f ca="1">SUM(N$152,N$154,N$164,N$166,N$186,N$201,$D$203:N$203,N$211)</f>
        <v>273.05200000000002</v>
      </c>
      <c r="O28" s="73">
        <f ca="1">SUM(O$152,O$154,O$164,O$166,O$186,O$201,$D$203:O$203,O$211)</f>
        <v>282.53607757758573</v>
      </c>
      <c r="P28" s="73">
        <f ca="1">SUM(P$152,P$154,P$164,P$166,P$186,P$201,$D$203:P$203,P$211)</f>
        <v>292.39578812349447</v>
      </c>
      <c r="Q28" s="73">
        <f ca="1">SUM(Q$152,Q$154,Q$164,Q$166,Q$186,Q$201,$D$203:Q$203,Q$211)</f>
        <v>302.86666989546268</v>
      </c>
      <c r="R28" s="73">
        <f ca="1">SUM(R$152,R$154,R$164,R$166,R$186,R$201,$D$203:R$203,R$211)</f>
        <v>315.51199911726991</v>
      </c>
      <c r="S28" s="73">
        <f ca="1">SUM(S$152,S$154,S$164,S$166,S$186,S$201,$D$203:S$203,S$211)</f>
        <v>328.90968250687325</v>
      </c>
      <c r="T28" s="73">
        <f ca="1">SUM(T$152,T$154,T$164,T$166,T$186,T$201,$D$203:T$203,T$211)</f>
        <v>342.85330005308049</v>
      </c>
      <c r="U28" s="73">
        <f ca="1">SUM(U$152,U$154,U$164,U$166,U$186,U$201,$D$203:U$203,U$211)</f>
        <v>357.3178706406519</v>
      </c>
      <c r="V28" s="73">
        <f ca="1">SUM(V$152,V$154,V$164,V$166,V$186,V$201,$D$203:V$203,V$211)</f>
        <v>372.34047428473315</v>
      </c>
      <c r="W28" s="73">
        <f ca="1">SUM(W$152,W$154,W$164,W$166,W$186,W$201,$D$203:W$203,W$211)</f>
        <v>387.87261803505629</v>
      </c>
      <c r="X28" s="73">
        <f ca="1">SUM(X$152,X$154,X$164,X$166,X$186,X$201,$D$203:X$203,X$211)</f>
        <v>403.91240642745635</v>
      </c>
    </row>
    <row r="29" spans="1:24" x14ac:dyDescent="0.2">
      <c r="A29" s="220" t="s">
        <v>676</v>
      </c>
      <c r="B29" s="70"/>
      <c r="C29"/>
      <c r="D29" s="69">
        <f t="shared" ref="D29:X29" si="15">SUM(D$232,D$231)</f>
        <v>41.897999999999996</v>
      </c>
      <c r="E29" s="69">
        <f t="shared" si="15"/>
        <v>46.11</v>
      </c>
      <c r="F29" s="69">
        <f t="shared" si="15"/>
        <v>61.953000000000003</v>
      </c>
      <c r="G29" s="69">
        <f t="shared" si="15"/>
        <v>69.733000000000004</v>
      </c>
      <c r="H29" s="69">
        <f t="shared" si="15"/>
        <v>90.245000000000005</v>
      </c>
      <c r="I29" s="69">
        <f t="shared" si="15"/>
        <v>100.53399999999999</v>
      </c>
      <c r="J29" s="123">
        <f t="shared" si="15"/>
        <v>100.78</v>
      </c>
      <c r="K29" s="123">
        <f t="shared" si="15"/>
        <v>112.20099999999999</v>
      </c>
      <c r="L29" s="123">
        <f t="shared" si="15"/>
        <v>109.67699999999999</v>
      </c>
      <c r="M29" s="123">
        <f t="shared" si="15"/>
        <v>115.22800000000001</v>
      </c>
      <c r="N29" s="123">
        <f t="shared" si="15"/>
        <v>123.12199999999999</v>
      </c>
      <c r="O29" s="73">
        <f t="shared" ca="1" si="15"/>
        <v>123.1874273683211</v>
      </c>
      <c r="P29" s="73">
        <f t="shared" ca="1" si="15"/>
        <v>121.57398398932949</v>
      </c>
      <c r="Q29" s="73">
        <f t="shared" ca="1" si="15"/>
        <v>118.24888949126914</v>
      </c>
      <c r="R29" s="73">
        <f t="shared" ca="1" si="15"/>
        <v>114.72425717400549</v>
      </c>
      <c r="S29" s="73">
        <f t="shared" ca="1" si="15"/>
        <v>109.70451696126827</v>
      </c>
      <c r="T29" s="73">
        <f t="shared" ca="1" si="15"/>
        <v>102.92671542056199</v>
      </c>
      <c r="U29" s="73">
        <f t="shared" ca="1" si="15"/>
        <v>94.249727795601459</v>
      </c>
      <c r="V29" s="73">
        <f t="shared" ca="1" si="15"/>
        <v>83.491497019162381</v>
      </c>
      <c r="W29" s="73">
        <f t="shared" ca="1" si="15"/>
        <v>70.472749582597956</v>
      </c>
      <c r="X29" s="73">
        <f t="shared" ca="1" si="15"/>
        <v>54.969255838072932</v>
      </c>
    </row>
    <row r="30" spans="1:24" x14ac:dyDescent="0.2">
      <c r="A30" s="220" t="s">
        <v>668</v>
      </c>
      <c r="B30" s="70"/>
      <c r="C30"/>
      <c r="D30" s="69">
        <f t="shared" ref="D30:X30" si="16">D$228</f>
        <v>41.624000000000002</v>
      </c>
      <c r="E30" s="69">
        <f t="shared" si="16"/>
        <v>49.210999999999999</v>
      </c>
      <c r="F30" s="69">
        <f t="shared" si="16"/>
        <v>55.683</v>
      </c>
      <c r="G30" s="69">
        <f t="shared" si="16"/>
        <v>58.634</v>
      </c>
      <c r="H30" s="69">
        <f t="shared" si="16"/>
        <v>74.082999999999998</v>
      </c>
      <c r="I30" s="69">
        <f t="shared" si="16"/>
        <v>80.004000000000005</v>
      </c>
      <c r="J30" s="123">
        <f t="shared" si="16"/>
        <v>76.635000000000005</v>
      </c>
      <c r="K30" s="123">
        <f t="shared" si="16"/>
        <v>72.795000000000016</v>
      </c>
      <c r="L30" s="123">
        <f t="shared" si="16"/>
        <v>69.798999999999992</v>
      </c>
      <c r="M30" s="123">
        <f t="shared" si="16"/>
        <v>69.213000000000008</v>
      </c>
      <c r="N30" s="123">
        <f t="shared" si="16"/>
        <v>69.924000000000007</v>
      </c>
      <c r="O30" s="73">
        <f t="shared" ca="1" si="16"/>
        <v>71.71984464451468</v>
      </c>
      <c r="P30" s="73">
        <f t="shared" ca="1" si="16"/>
        <v>73.583439876575895</v>
      </c>
      <c r="Q30" s="73">
        <f t="shared" ca="1" si="16"/>
        <v>75.546794152078903</v>
      </c>
      <c r="R30" s="73">
        <f t="shared" ca="1" si="16"/>
        <v>77.586617553837769</v>
      </c>
      <c r="S30" s="73">
        <f t="shared" ca="1" si="16"/>
        <v>79.693177477428065</v>
      </c>
      <c r="T30" s="73">
        <f t="shared" ca="1" si="16"/>
        <v>81.853713966739448</v>
      </c>
      <c r="U30" s="73">
        <f t="shared" ca="1" si="16"/>
        <v>84.084193329357717</v>
      </c>
      <c r="V30" s="73">
        <f t="shared" ca="1" si="16"/>
        <v>86.407008269426825</v>
      </c>
      <c r="W30" s="73">
        <f t="shared" ca="1" si="16"/>
        <v>88.814365738922305</v>
      </c>
      <c r="X30" s="73">
        <f t="shared" ca="1" si="16"/>
        <v>91.299151600381137</v>
      </c>
    </row>
    <row r="31" spans="1:24" x14ac:dyDescent="0.2">
      <c r="A31" s="220" t="s">
        <v>297</v>
      </c>
      <c r="B31" s="70"/>
      <c r="C31"/>
      <c r="D31" s="69">
        <f t="shared" ref="D31:X31" si="17">D$28-SUM(D$29,D$30)</f>
        <v>96.826999999999998</v>
      </c>
      <c r="E31" s="69">
        <f t="shared" si="17"/>
        <v>105.51400000000001</v>
      </c>
      <c r="F31" s="69">
        <f t="shared" si="17"/>
        <v>99.515000000000015</v>
      </c>
      <c r="G31" s="69">
        <f t="shared" si="17"/>
        <v>94.987999999999971</v>
      </c>
      <c r="H31" s="69">
        <f t="shared" si="17"/>
        <v>80.887</v>
      </c>
      <c r="I31" s="69">
        <f t="shared" si="17"/>
        <v>59.78</v>
      </c>
      <c r="J31" s="123">
        <f t="shared" ca="1" si="17"/>
        <v>63.269999999999982</v>
      </c>
      <c r="K31" s="123">
        <f t="shared" ca="1" si="17"/>
        <v>65.181999999999988</v>
      </c>
      <c r="L31" s="123">
        <f t="shared" ca="1" si="17"/>
        <v>69.429000000000002</v>
      </c>
      <c r="M31" s="123">
        <f t="shared" ca="1" si="17"/>
        <v>74.502999999999986</v>
      </c>
      <c r="N31" s="123">
        <f t="shared" ca="1" si="17"/>
        <v>80.006000000000029</v>
      </c>
      <c r="O31" s="73">
        <f t="shared" ca="1" si="17"/>
        <v>87.628805564749939</v>
      </c>
      <c r="P31" s="73">
        <f t="shared" ca="1" si="17"/>
        <v>97.238364257589069</v>
      </c>
      <c r="Q31" s="73">
        <f t="shared" ca="1" si="17"/>
        <v>109.07098625211464</v>
      </c>
      <c r="R31" s="73">
        <f t="shared" ca="1" si="17"/>
        <v>123.20112438942664</v>
      </c>
      <c r="S31" s="73">
        <f t="shared" ca="1" si="17"/>
        <v>139.51198806817692</v>
      </c>
      <c r="T31" s="73">
        <f t="shared" ca="1" si="17"/>
        <v>158.07287066577905</v>
      </c>
      <c r="U31" s="73">
        <f t="shared" ca="1" si="17"/>
        <v>178.98394951569273</v>
      </c>
      <c r="V31" s="73">
        <f t="shared" ca="1" si="17"/>
        <v>202.44196899614394</v>
      </c>
      <c r="W31" s="73">
        <f t="shared" ca="1" si="17"/>
        <v>228.58550271353602</v>
      </c>
      <c r="X31" s="73">
        <f t="shared" ca="1" si="17"/>
        <v>257.64399898900228</v>
      </c>
    </row>
    <row r="32" spans="1:24" x14ac:dyDescent="0.2">
      <c r="A32" s="27" t="s">
        <v>162</v>
      </c>
      <c r="B32" s="395"/>
      <c r="C32"/>
      <c r="D32" s="69"/>
      <c r="E32" s="69"/>
      <c r="F32" s="69"/>
      <c r="G32" s="69"/>
      <c r="H32" s="69"/>
      <c r="I32" s="69"/>
      <c r="J32" s="123"/>
      <c r="K32" s="123"/>
      <c r="L32" s="123"/>
      <c r="M32" s="123"/>
      <c r="N32" s="123"/>
    </row>
    <row r="33" spans="1:24" x14ac:dyDescent="0.2">
      <c r="A33" s="220" t="s">
        <v>674</v>
      </c>
      <c r="B33" s="70"/>
      <c r="C33"/>
      <c r="D33" s="69">
        <f>SUM(D$151,D$153,D$161,D$165,D$185,D$199,$D$203:D$203,D$210)</f>
        <v>105.21299999999999</v>
      </c>
      <c r="E33" s="69">
        <f>SUM(E$151,E$153,E$161,E$165,E$185,E$199,$D$203:E$203,E$210)</f>
        <v>116.18199999999999</v>
      </c>
      <c r="F33" s="69">
        <f>SUM(F$151,F$153,F$161,F$165,F$185,F$199,$D$203:F$203,F$210)</f>
        <v>126.19999999999999</v>
      </c>
      <c r="G33" s="69">
        <f>SUM(G$151,G$153,G$161,G$165,G$185,G$199,$D$203:G$203,G$210)</f>
        <v>127.215</v>
      </c>
      <c r="H33" s="69">
        <f>SUM(H$151,H$153,H$161,H$165,H$185,H$199,$D$203:H$203,H$210)</f>
        <v>138.965</v>
      </c>
      <c r="I33" s="69">
        <f>SUM(I$151,I$153,I$161,I$165,I$185,I$199,$D$203:I$203,I$210)</f>
        <v>138.40899999999999</v>
      </c>
      <c r="J33" s="123">
        <f ca="1">SUM(J$151,J$153,J$161,J$165,J$185,J$199,$D$203:J$203,J$210)</f>
        <v>136.154</v>
      </c>
      <c r="K33" s="123">
        <f ca="1">SUM(K$151,K$153,K$161,K$165,K$185,K$199,$D$203:K$203,K$210)</f>
        <v>143.261</v>
      </c>
      <c r="L33" s="123">
        <f ca="1">SUM(L$151,L$153,L$161,L$165,L$185,L$199,$D$203:L$203,L$210)</f>
        <v>139.953</v>
      </c>
      <c r="M33" s="123">
        <f ca="1">SUM(M$151,M$153,M$161,M$165,M$185,M$199,$D$203:M$203,M$210)</f>
        <v>147.489</v>
      </c>
      <c r="N33" s="123">
        <f ca="1">SUM(N$151,N$153,N$161,N$165,N$185,N$199,$D$203:N$203,N$210)</f>
        <v>158.11199999999999</v>
      </c>
      <c r="O33" s="73">
        <f ca="1">SUM(O$151,O$153,O$161,O$165,O$185,O$199,$D$203:O$203,O$210)</f>
        <v>162.8886378150259</v>
      </c>
      <c r="P33" s="73">
        <f ca="1">SUM(P$151,P$153,P$161,P$165,P$185,P$199,$D$203:P$203,P$210)</f>
        <v>167.5768811529592</v>
      </c>
      <c r="Q33" s="73">
        <f ca="1">SUM(Q$151,Q$153,Q$161,Q$165,Q$185,Q$199,$D$203:Q$203,Q$210)</f>
        <v>172.3272023104895</v>
      </c>
      <c r="R33" s="73">
        <f ca="1">SUM(R$151,R$153,R$161,R$165,R$185,R$199,$D$203:R$203,R$210)</f>
        <v>178.98673060498055</v>
      </c>
      <c r="S33" s="73">
        <f ca="1">SUM(S$151,S$153,S$161,S$165,S$185,S$199,$D$203:S$203,S$210)</f>
        <v>185.99225934258769</v>
      </c>
      <c r="T33" s="73">
        <f ca="1">SUM(T$151,T$153,T$161,T$165,T$185,T$199,$D$203:T$203,T$210)</f>
        <v>193.16961941099947</v>
      </c>
      <c r="U33" s="73">
        <f ca="1">SUM(U$151,U$153,U$161,U$165,U$185,U$199,$D$203:U$203,U$210)</f>
        <v>200.48722765134636</v>
      </c>
      <c r="V33" s="73">
        <f ca="1">SUM(V$151,V$153,V$161,V$165,V$185,V$199,$D$203:V$203,V$210)</f>
        <v>207.93487273949063</v>
      </c>
      <c r="W33" s="73">
        <f ca="1">SUM(W$151,W$153,W$161,W$165,W$185,W$199,$D$203:W$203,W$210)</f>
        <v>215.49738088976346</v>
      </c>
      <c r="X33" s="73">
        <f ca="1">SUM(X$151,X$153,X$161,X$165,X$185,X$199,$D$203:X$203,X$210)</f>
        <v>223.14935592638383</v>
      </c>
    </row>
    <row r="34" spans="1:24" x14ac:dyDescent="0.2">
      <c r="A34" s="220" t="s">
        <v>1053</v>
      </c>
      <c r="B34" s="70"/>
      <c r="C34"/>
      <c r="D34" s="69">
        <f>SUM(D$151,D$153,D$161,D$185,D$199,$D$203:D$203,D$210)</f>
        <v>105.21299999999999</v>
      </c>
      <c r="E34" s="69">
        <f>SUM(E$151,E$153,E$161,E$185,E$199,$D$203:E$203,E$210)</f>
        <v>116.18199999999999</v>
      </c>
      <c r="F34" s="69">
        <f>SUM(F$151,F$153,F$161,F$185,F$199,$D$203:F$203,F$210)</f>
        <v>126.19999999999999</v>
      </c>
      <c r="G34" s="69">
        <f>SUM(G$151,G$153,G$161,G$185,G$199,$D$203:G$203,G$210)</f>
        <v>127.215</v>
      </c>
      <c r="H34" s="69">
        <f>SUM(H$151,H$153,H$161,H$185,H$199,$D$203:H$203,H$210)</f>
        <v>138.965</v>
      </c>
      <c r="I34" s="69">
        <f>SUM(I$151,I$153,I$161,I$185,I$199,$D$203:I$203,I$210)</f>
        <v>138.40899999999999</v>
      </c>
      <c r="J34" s="123">
        <f ca="1">SUM(J$151,J$153,J$161,J$185,J$199,$D$203:J$203,J$210)</f>
        <v>136.154</v>
      </c>
      <c r="K34" s="123">
        <f ca="1">SUM(K$151,K$153,K$161,K$185,K$199,$D$203:K$203,K$210)</f>
        <v>143.261</v>
      </c>
      <c r="L34" s="123">
        <f ca="1">SUM(L$151,L$153,L$161,L$185,L$199,$D$203:L$203,L$210)</f>
        <v>139.953</v>
      </c>
      <c r="M34" s="123">
        <f ca="1">SUM(M$151,M$153,M$161,M$185,M$199,$D$203:M$203,M$210)</f>
        <v>147.489</v>
      </c>
      <c r="N34" s="123">
        <f ca="1">SUM(N$151,N$153,N$161,N$185,N$199,$D$203:N$203,N$210)</f>
        <v>158.11199999999999</v>
      </c>
      <c r="O34" s="73">
        <f ca="1">SUM(O$151,O$153,O$161,O$185,O$199,$D$203:O$203,O$210)</f>
        <v>162.8886378150259</v>
      </c>
      <c r="P34" s="73">
        <f ca="1">SUM(P$151,P$153,P$161,P$185,P$199,$D$203:P$203,P$210)</f>
        <v>167.5768811529592</v>
      </c>
      <c r="Q34" s="73">
        <f ca="1">SUM(Q$151,Q$153,Q$161,Q$185,Q$199,$D$203:Q$203,Q$210)</f>
        <v>172.3272023104895</v>
      </c>
      <c r="R34" s="73">
        <f ca="1">SUM(R$151,R$153,R$161,R$185,R$199,$D$203:R$203,R$210)</f>
        <v>178.98673060498055</v>
      </c>
      <c r="S34" s="73">
        <f ca="1">SUM(S$151,S$153,S$161,S$185,S$199,$D$203:S$203,S$210)</f>
        <v>185.99225934258769</v>
      </c>
      <c r="T34" s="73">
        <f ca="1">SUM(T$151,T$153,T$161,T$185,T$199,$D$203:T$203,T$210)</f>
        <v>193.16961941099947</v>
      </c>
      <c r="U34" s="73">
        <f ca="1">SUM(U$151,U$153,U$161,U$185,U$199,$D$203:U$203,U$210)</f>
        <v>200.48722765134636</v>
      </c>
      <c r="V34" s="73">
        <f ca="1">SUM(V$151,V$153,V$161,V$185,V$199,$D$203:V$203,V$210)</f>
        <v>207.93487273949063</v>
      </c>
      <c r="W34" s="73">
        <f ca="1">SUM(W$151,W$153,W$161,W$185,W$199,$D$203:W$203,W$210)</f>
        <v>215.49738088976346</v>
      </c>
      <c r="X34" s="73">
        <f ca="1">SUM(X$151,X$153,X$161,X$185,X$199,$D$203:X$203,X$210)</f>
        <v>223.14935592638383</v>
      </c>
    </row>
    <row r="35" spans="1:24" x14ac:dyDescent="0.2">
      <c r="A35" s="220" t="s">
        <v>669</v>
      </c>
      <c r="B35" s="101"/>
      <c r="C35"/>
      <c r="D35" s="69">
        <f t="shared" ref="D35:X35" si="18">D$234</f>
        <v>35.892000000000003</v>
      </c>
      <c r="E35" s="69">
        <f t="shared" si="18"/>
        <v>37.335999999999999</v>
      </c>
      <c r="F35" s="69">
        <f t="shared" si="18"/>
        <v>50.545000000000002</v>
      </c>
      <c r="G35" s="69">
        <f t="shared" si="18"/>
        <v>58.582999999999998</v>
      </c>
      <c r="H35" s="69">
        <f t="shared" si="18"/>
        <v>76.885000000000005</v>
      </c>
      <c r="I35" s="69">
        <f t="shared" si="18"/>
        <v>84.68</v>
      </c>
      <c r="J35" s="123">
        <f t="shared" si="18"/>
        <v>85.31</v>
      </c>
      <c r="K35" s="123">
        <f t="shared" si="18"/>
        <v>94.504000000000005</v>
      </c>
      <c r="L35" s="123">
        <f t="shared" si="18"/>
        <v>90.088999999999999</v>
      </c>
      <c r="M35" s="123">
        <f t="shared" si="18"/>
        <v>94.584000000000003</v>
      </c>
      <c r="N35" s="123">
        <f t="shared" si="18"/>
        <v>101.077</v>
      </c>
      <c r="O35" s="73">
        <f t="shared" ca="1" si="18"/>
        <v>99.400447655023413</v>
      </c>
      <c r="P35" s="73">
        <f t="shared" ca="1" si="18"/>
        <v>95.730164309736054</v>
      </c>
      <c r="Q35" s="73">
        <f t="shared" ca="1" si="18"/>
        <v>89.980577851751605</v>
      </c>
      <c r="R35" s="73">
        <f t="shared" ca="1" si="18"/>
        <v>83.907753298496971</v>
      </c>
      <c r="S35" s="73">
        <f t="shared" ca="1" si="18"/>
        <v>76.051347435024255</v>
      </c>
      <c r="T35" s="73">
        <f t="shared" ca="1" si="18"/>
        <v>66.136641952618845</v>
      </c>
      <c r="U35" s="73">
        <f t="shared" ca="1" si="18"/>
        <v>53.997932949686721</v>
      </c>
      <c r="V35" s="73">
        <f t="shared" ca="1" si="18"/>
        <v>39.403645302380411</v>
      </c>
      <c r="W35" s="73">
        <f t="shared" ca="1" si="18"/>
        <v>22.163806052542913</v>
      </c>
      <c r="X35" s="73">
        <f t="shared" ca="1" si="18"/>
        <v>2.028194466909921</v>
      </c>
    </row>
    <row r="36" spans="1:24" x14ac:dyDescent="0.2">
      <c r="A36" s="220" t="s">
        <v>670</v>
      </c>
      <c r="B36" s="101"/>
      <c r="C36"/>
      <c r="D36" s="69">
        <f t="shared" ref="D36:X36" si="19">D$225</f>
        <v>18.530999999999995</v>
      </c>
      <c r="E36" s="69">
        <f t="shared" si="19"/>
        <v>21.863000000000003</v>
      </c>
      <c r="F36" s="69">
        <f t="shared" si="19"/>
        <v>22.586000000000002</v>
      </c>
      <c r="G36" s="69">
        <f t="shared" si="19"/>
        <v>23.963000000000001</v>
      </c>
      <c r="H36" s="69">
        <f t="shared" si="19"/>
        <v>27.148999999999994</v>
      </c>
      <c r="I36" s="69">
        <f t="shared" si="19"/>
        <v>30.357999999999997</v>
      </c>
      <c r="J36" s="123">
        <f t="shared" si="19"/>
        <v>28.881</v>
      </c>
      <c r="K36" s="123">
        <f t="shared" si="19"/>
        <v>27.742999999999999</v>
      </c>
      <c r="L36" s="123">
        <f t="shared" si="19"/>
        <v>26.871000000000006</v>
      </c>
      <c r="M36" s="123">
        <f t="shared" si="19"/>
        <v>26.02399999999999</v>
      </c>
      <c r="N36" s="123">
        <f t="shared" si="19"/>
        <v>25.889000000000003</v>
      </c>
      <c r="O36" s="73">
        <f t="shared" ca="1" si="19"/>
        <v>25.95994897735833</v>
      </c>
      <c r="P36" s="73">
        <f t="shared" ca="1" si="19"/>
        <v>26.026206281430845</v>
      </c>
      <c r="Q36" s="73">
        <f t="shared" ca="1" si="19"/>
        <v>26.074066255562105</v>
      </c>
      <c r="R36" s="73">
        <f t="shared" ca="1" si="19"/>
        <v>26.110852513145453</v>
      </c>
      <c r="S36" s="73">
        <f t="shared" ca="1" si="19"/>
        <v>26.138749763056047</v>
      </c>
      <c r="T36" s="73">
        <f t="shared" ca="1" si="19"/>
        <v>26.16611497753815</v>
      </c>
      <c r="U36" s="73">
        <f t="shared" ca="1" si="19"/>
        <v>26.204392593197738</v>
      </c>
      <c r="V36" s="73">
        <f t="shared" ca="1" si="19"/>
        <v>26.254746878806067</v>
      </c>
      <c r="W36" s="73">
        <f t="shared" ca="1" si="19"/>
        <v>26.321429673105619</v>
      </c>
      <c r="X36" s="73">
        <f t="shared" ca="1" si="19"/>
        <v>26.401497604990123</v>
      </c>
    </row>
    <row r="37" spans="1:24" x14ac:dyDescent="0.2">
      <c r="A37" s="220" t="s">
        <v>297</v>
      </c>
      <c r="B37" s="101"/>
      <c r="C37"/>
      <c r="D37" s="69">
        <f>D$33-SUM(D$35,D$36)</f>
        <v>50.789999999999992</v>
      </c>
      <c r="E37" s="69">
        <f t="shared" ref="E37:X37" si="20">E$33-SUM(E$35,E$36)</f>
        <v>56.98299999999999</v>
      </c>
      <c r="F37" s="69">
        <f t="shared" si="20"/>
        <v>53.068999999999988</v>
      </c>
      <c r="G37" s="69">
        <f t="shared" si="20"/>
        <v>44.669000000000011</v>
      </c>
      <c r="H37" s="69">
        <f t="shared" si="20"/>
        <v>34.931000000000012</v>
      </c>
      <c r="I37" s="69">
        <f t="shared" si="20"/>
        <v>23.370999999999981</v>
      </c>
      <c r="J37" s="123">
        <f t="shared" ca="1" si="20"/>
        <v>21.962999999999994</v>
      </c>
      <c r="K37" s="123">
        <f t="shared" ca="1" si="20"/>
        <v>21.013999999999996</v>
      </c>
      <c r="L37" s="123">
        <f t="shared" ca="1" si="20"/>
        <v>22.992999999999995</v>
      </c>
      <c r="M37" s="123">
        <f t="shared" ca="1" si="20"/>
        <v>26.881000000000014</v>
      </c>
      <c r="N37" s="123">
        <f t="shared" ca="1" si="20"/>
        <v>31.145999999999987</v>
      </c>
      <c r="O37" s="73">
        <f t="shared" ca="1" si="20"/>
        <v>37.528241182644166</v>
      </c>
      <c r="P37" s="73">
        <f t="shared" ca="1" si="20"/>
        <v>45.820510561792304</v>
      </c>
      <c r="Q37" s="73">
        <f t="shared" ca="1" si="20"/>
        <v>56.272558203175791</v>
      </c>
      <c r="R37" s="73">
        <f t="shared" ca="1" si="20"/>
        <v>68.96812479333812</v>
      </c>
      <c r="S37" s="73">
        <f t="shared" ca="1" si="20"/>
        <v>83.802162144507378</v>
      </c>
      <c r="T37" s="73">
        <f t="shared" ca="1" si="20"/>
        <v>100.86686248084249</v>
      </c>
      <c r="U37" s="73">
        <f t="shared" ca="1" si="20"/>
        <v>120.28490210846189</v>
      </c>
      <c r="V37" s="73">
        <f t="shared" ca="1" si="20"/>
        <v>142.27648055830414</v>
      </c>
      <c r="W37" s="73">
        <f t="shared" ca="1" si="20"/>
        <v>167.01214516411494</v>
      </c>
      <c r="X37" s="73">
        <f t="shared" ca="1" si="20"/>
        <v>194.7196638544838</v>
      </c>
    </row>
    <row r="38" spans="1:24" x14ac:dyDescent="0.2">
      <c r="A38" s="220" t="s">
        <v>1056</v>
      </c>
      <c r="B38" s="101"/>
      <c r="C38"/>
      <c r="D38" s="69">
        <f t="shared" ref="D38:O38" si="21">D$236</f>
        <v>36.805</v>
      </c>
      <c r="E38" s="69">
        <f t="shared" si="21"/>
        <v>37.744999999999997</v>
      </c>
      <c r="F38" s="69">
        <f t="shared" si="21"/>
        <v>50.972999999999999</v>
      </c>
      <c r="G38" s="69">
        <f t="shared" si="21"/>
        <v>58.890999999999998</v>
      </c>
      <c r="H38" s="69">
        <f t="shared" si="21"/>
        <v>77.290000000000006</v>
      </c>
      <c r="I38" s="69">
        <f t="shared" si="21"/>
        <v>84.168000000000006</v>
      </c>
      <c r="J38" s="123">
        <f t="shared" si="21"/>
        <v>84.427000000000007</v>
      </c>
      <c r="K38" s="123">
        <f t="shared" si="21"/>
        <v>93.477000000000004</v>
      </c>
      <c r="L38" s="123">
        <f t="shared" si="21"/>
        <v>88.947999999999993</v>
      </c>
      <c r="M38" s="123">
        <f t="shared" si="21"/>
        <v>93.296000000000006</v>
      </c>
      <c r="N38" s="123">
        <f t="shared" si="21"/>
        <v>99.736000000000004</v>
      </c>
      <c r="O38" s="73">
        <f t="shared" ca="1" si="21"/>
        <v>99.400447655023413</v>
      </c>
      <c r="P38" s="73">
        <f t="shared" ref="P38:X38" ca="1" si="22">P$236</f>
        <v>95.730164309736054</v>
      </c>
      <c r="Q38" s="73">
        <f t="shared" ca="1" si="22"/>
        <v>89.980577851751605</v>
      </c>
      <c r="R38" s="73">
        <f t="shared" ca="1" si="22"/>
        <v>83.907753298496971</v>
      </c>
      <c r="S38" s="73">
        <f t="shared" ca="1" si="22"/>
        <v>76.051347435024255</v>
      </c>
      <c r="T38" s="73">
        <f t="shared" ca="1" si="22"/>
        <v>66.136641952618845</v>
      </c>
      <c r="U38" s="73">
        <f t="shared" ca="1" si="22"/>
        <v>53.997932949686721</v>
      </c>
      <c r="V38" s="73">
        <f t="shared" ca="1" si="22"/>
        <v>39.403645302380411</v>
      </c>
      <c r="W38" s="73">
        <f t="shared" ca="1" si="22"/>
        <v>22.163806052542913</v>
      </c>
      <c r="X38" s="73">
        <f t="shared" ca="1" si="22"/>
        <v>2.028194466909921</v>
      </c>
    </row>
    <row r="39" spans="1:24" x14ac:dyDescent="0.2">
      <c r="A39" s="220" t="s">
        <v>671</v>
      </c>
      <c r="B39" s="101"/>
      <c r="C39"/>
      <c r="D39" s="262">
        <f t="shared" ref="D39:X39" si="23">D$236-SUM(D$151,D$161,D$183)+SUM(D$179,D$212)-D$165</f>
        <v>13.195999999999998</v>
      </c>
      <c r="E39" s="262">
        <f t="shared" si="23"/>
        <v>10.257999999999997</v>
      </c>
      <c r="F39" s="262">
        <f t="shared" si="23"/>
        <v>17.119000000000003</v>
      </c>
      <c r="G39" s="262">
        <f t="shared" si="23"/>
        <v>26.738</v>
      </c>
      <c r="H39" s="262">
        <f t="shared" si="23"/>
        <v>40.128</v>
      </c>
      <c r="I39" s="262">
        <f t="shared" si="23"/>
        <v>50.671000000000021</v>
      </c>
      <c r="J39" s="263">
        <f t="shared" si="23"/>
        <v>57.945000000000007</v>
      </c>
      <c r="K39" s="263">
        <f t="shared" si="23"/>
        <v>64.765000000000001</v>
      </c>
      <c r="L39" s="263">
        <f t="shared" si="23"/>
        <v>68.233000000000004</v>
      </c>
      <c r="M39" s="263">
        <f t="shared" si="23"/>
        <v>69.680000000000007</v>
      </c>
      <c r="N39" s="263">
        <f t="shared" si="23"/>
        <v>70.275000000000006</v>
      </c>
      <c r="O39" s="258">
        <f t="shared" ca="1" si="23"/>
        <v>69.611342245649269</v>
      </c>
      <c r="P39" s="258">
        <f t="shared" ca="1" si="23"/>
        <v>65.640207295524718</v>
      </c>
      <c r="Q39" s="258">
        <f t="shared" ca="1" si="23"/>
        <v>59.607302167253103</v>
      </c>
      <c r="R39" s="258">
        <f t="shared" ca="1" si="23"/>
        <v>53.968593842555983</v>
      </c>
      <c r="S39" s="258">
        <f t="shared" ca="1" si="23"/>
        <v>46.573865801608406</v>
      </c>
      <c r="T39" s="258">
        <f t="shared" ca="1" si="23"/>
        <v>37.144813476947427</v>
      </c>
      <c r="U39" s="258">
        <f t="shared" ca="1" si="23"/>
        <v>25.502963262007043</v>
      </c>
      <c r="V39" s="258">
        <f t="shared" ca="1" si="23"/>
        <v>11.41286038553045</v>
      </c>
      <c r="W39" s="258">
        <f t="shared" ca="1" si="23"/>
        <v>-5.3292204464451345</v>
      </c>
      <c r="X39" s="258">
        <f t="shared" ca="1" si="23"/>
        <v>-24.982594576817789</v>
      </c>
    </row>
    <row r="40" spans="1:24" ht="13.5" x14ac:dyDescent="0.25">
      <c r="A40" s="154" t="s">
        <v>507</v>
      </c>
      <c r="B40" s="42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 s="220" t="s">
        <v>592</v>
      </c>
      <c r="B41" s="228"/>
      <c r="C41"/>
      <c r="D41" s="266" t="str">
        <f>IF(ROUND(Data!C$17-D$15,3)=0,"OK","ERROR")</f>
        <v>OK</v>
      </c>
      <c r="E41" s="266" t="str">
        <f>IF(ROUND(Data!D$17-E$15,3)=0,"OK","ERROR")</f>
        <v>OK</v>
      </c>
      <c r="F41" s="266" t="str">
        <f>IF(ROUND(Data!E$17-F$15,3)=0,"OK","ERROR")</f>
        <v>OK</v>
      </c>
      <c r="G41" s="266" t="str">
        <f>IF(ROUND(Data!F$17-G$15,3)=0,"OK","ERROR")</f>
        <v>OK</v>
      </c>
      <c r="H41" s="266" t="str">
        <f>IF(ROUND(Data!G$17-H$15,3)=0,"OK","ERROR")</f>
        <v>OK</v>
      </c>
      <c r="I41" s="266" t="str">
        <f>IF(ROUND(Data!H$17-I$15,3)=0,"OK","ERROR")</f>
        <v>OK</v>
      </c>
      <c r="J41" s="155" t="str">
        <f ca="1">IF(ROUND(Data!I$17-J$15 + IF($F$1="Yes",J$340,0) + IF($I$1="Yes",SUM(J$297,J$298,J$321),0) + IF($L$1="Yes",J$354,0),3)=0,"OK","ERROR")</f>
        <v>OK</v>
      </c>
      <c r="K41" s="155" t="str">
        <f ca="1">IF(ROUND(Data!J$17-K$15 + IF($F$1="Yes",K$340,0) + IF($I$1="Yes",SUM(K$297,K$298,K$321),0) + IF($L$1="Yes",K$354,0),3)=0,"OK","ERROR")</f>
        <v>OK</v>
      </c>
      <c r="L41" s="155" t="str">
        <f ca="1">IF(ROUND(Data!K$17-L$15 + IF($F$1="Yes",L$340,0) + IF($I$1="Yes",SUM(L$297,L$298,L$321),0) + IF($L$1="Yes",L$354,0),3)=0,"OK","ERROR")</f>
        <v>OK</v>
      </c>
      <c r="M41" s="155" t="str">
        <f ca="1">IF(ROUND(Data!L$17-M$15 + IF($F$1="Yes",M$340,0) + IF($I$1="Yes",SUM(M$297,M$298,M$321),0) + IF($L$1="Yes",M$354,0),3)=0,"OK","ERROR")</f>
        <v>OK</v>
      </c>
      <c r="N41" s="155" t="str">
        <f ca="1">IF(ROUND(Data!M$17-N$15 + IF($F$1="Yes",N$340,0) + IF($I$1="Yes",SUM(N$297,N$298,N$321),0) + IF($L$1="Yes",N$354,0),3)=0,"OK","ERROR")</f>
        <v>OK</v>
      </c>
    </row>
    <row r="42" spans="1:24" x14ac:dyDescent="0.2">
      <c r="A42" s="220" t="s">
        <v>508</v>
      </c>
      <c r="B42" s="228"/>
      <c r="C42"/>
      <c r="D42" s="266" t="str">
        <f>IF(ROUND(Data!C$108-D$24,3)=0,"OK","ERROR")</f>
        <v>OK</v>
      </c>
      <c r="E42" s="266" t="str">
        <f>IF(ROUND(Data!D$108-E$24,3)=0,"OK","ERROR")</f>
        <v>OK</v>
      </c>
      <c r="F42" s="266" t="str">
        <f>IF(ROUND(Data!E$108-F$24,3)=0,"OK","ERROR")</f>
        <v>OK</v>
      </c>
      <c r="G42" s="266" t="str">
        <f>IF(ROUND(Data!F$108-G$24,3)=0,"OK","ERROR")</f>
        <v>OK</v>
      </c>
      <c r="H42" s="266" t="str">
        <f>IF(ROUND(Data!G$108-H$24,3)=0,"OK","ERROR")</f>
        <v>OK</v>
      </c>
      <c r="I42" s="266" t="str">
        <f>IF(ROUND(Data!H$108-I$24,3)=0,"OK","ERROR")</f>
        <v>OK</v>
      </c>
      <c r="J42" s="155" t="str">
        <f ca="1">IF(ROUND(Data!I$108-J$24 + IF($F$1="Yes",J$340,0) + IF($I$1="Yes",J$321,0) + IF($L$1="Yes",J$354,0),3)=0,"OK","ERROR")</f>
        <v>OK</v>
      </c>
      <c r="K42" s="155" t="str">
        <f ca="1">IF(ROUND(Data!J$108-K$24 + IF($F$1="Yes",K$340,0) + IF($I$1="Yes",K$321,0) + IF($L$1="Yes",K$354,0),3)=0,"OK","ERROR")</f>
        <v>OK</v>
      </c>
      <c r="L42" s="155" t="str">
        <f ca="1">IF(ROUND(Data!K$108-L$24 + IF($F$1="Yes",L$340,0) + IF($I$1="Yes",L$321,0) + IF($L$1="Yes",L$354,0),3)=0,"OK","ERROR")</f>
        <v>OK</v>
      </c>
      <c r="M42" s="155" t="str">
        <f ca="1">IF(ROUND(Data!L$108-M$24 + IF($F$1="Yes",M$340,0) + IF($I$1="Yes",M$321,0) + IF($L$1="Yes",M$354,0),3)=0,"OK","ERROR")</f>
        <v>OK</v>
      </c>
      <c r="N42" s="155" t="str">
        <f ca="1">IF(ROUND(Data!M$108-N$24 + IF($F$1="Yes",N$340,0) + IF($I$1="Yes",N$321,0) + IF($L$1="Yes",N$354,0),3)=0,"OK","ERROR")</f>
        <v>OK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x14ac:dyDescent="0.2">
      <c r="A43" s="220" t="s">
        <v>509</v>
      </c>
      <c r="B43" s="228"/>
      <c r="C43"/>
      <c r="D43" s="266" t="str">
        <f>IF(ROUND(Data!C$79-D$31,3)=0,"OK","ERROR")</f>
        <v>OK</v>
      </c>
      <c r="E43" s="266" t="str">
        <f>IF(ROUND(Data!D$79-E$31,3)=0,"OK","ERROR")</f>
        <v>OK</v>
      </c>
      <c r="F43" s="266" t="str">
        <f>IF(ROUND(Data!E$79-F$31,3)=0,"OK","ERROR")</f>
        <v>OK</v>
      </c>
      <c r="G43" s="266" t="str">
        <f>IF(ROUND(Data!F$79-G$31,3)=0,"OK","ERROR")</f>
        <v>OK</v>
      </c>
      <c r="H43" s="266" t="str">
        <f>IF(ROUND(Data!G$79-H$31,3)=0,"OK","ERROR")</f>
        <v>OK</v>
      </c>
      <c r="I43" s="266" t="str">
        <f>IF(ROUND(Data!H$79-I$31,3)=0,"OK","ERROR")</f>
        <v>OK</v>
      </c>
      <c r="J43" s="155" t="str">
        <f ca="1">IF(ROUND(Data!I$79-J$31 + IF($F$1="Yes",J$341,0) + IF($I$1="Yes",SUM(J$323,J$324,J$327),0) + IF($L$1="Yes",J$359,0),3)=0,"OK","ERROR")</f>
        <v>OK</v>
      </c>
      <c r="K43" s="155" t="str">
        <f ca="1">IF(ROUND(Data!J$79-K$31 + IF($F$1="Yes",K$341,0) + IF($I$1="Yes",SUM(K$323,K$324,K$327),0) + IF($L$1="Yes",K$359,0),3)=0,"OK","ERROR")</f>
        <v>OK</v>
      </c>
      <c r="L43" s="155" t="str">
        <f ca="1">IF(ROUND(Data!K$79-L$31 + IF($F$1="Yes",L$341,0) + IF($I$1="Yes",SUM(L$323,L$324,L$327),0) + IF($L$1="Yes",L$359,0),3)=0,"OK","ERROR")</f>
        <v>OK</v>
      </c>
      <c r="M43" s="155" t="str">
        <f ca="1">IF(ROUND(Data!L$79-M$31 + IF($F$1="Yes",M$341,0) + IF($I$1="Yes",SUM(M$323,M$324,M$327),0) + IF($L$1="Yes",M$359,0),3)=0,"OK","ERROR")</f>
        <v>OK</v>
      </c>
      <c r="N43" s="155" t="str">
        <f ca="1">IF(ROUND(Data!M$79-N$31 + IF($F$1="Yes",N$341,0) + IF($I$1="Yes",SUM(N$323,N$324,N$327),0) + IF($L$1="Yes",N$359,0),3)=0,"OK","ERROR")</f>
        <v>OK</v>
      </c>
      <c r="O43" s="385" t="str">
        <f ca="1">IF(ROUND(O$31-N$31-O$15 + IF(AND(OFFSET(Scenarios!$A$37,0,$C$1)="Yes",O$4&gt;=OFFSET(Scenarios!$A$38,0,$C$1),O$4&lt;=OFFSET(Scenarios!$A$39,0,$C$1)),OFFSET(Scenarios!$A$40,0,$C$1)*(1+OFFSET(Scenarios!$A$41,0,$C$1))^MAX(0,O$4-OFFSET(Scenarios!$A$38,0,$C$1)),0),3)=0,"OK","ERROR")</f>
        <v>OK</v>
      </c>
      <c r="P43" s="385" t="str">
        <f ca="1">IF(ROUND(P$31-O$31-P$15 + IF(AND(OFFSET(Scenarios!$A$37,0,$C$1)="Yes",P$4&gt;=OFFSET(Scenarios!$A$38,0,$C$1),P$4&lt;=OFFSET(Scenarios!$A$39,0,$C$1)),OFFSET(Scenarios!$A$40,0,$C$1)*(1+OFFSET(Scenarios!$A$41,0,$C$1))^MAX(0,P$4-OFFSET(Scenarios!$A$38,0,$C$1)),0),3)=0,"OK","ERROR")</f>
        <v>OK</v>
      </c>
      <c r="Q43" s="385" t="str">
        <f ca="1">IF(ROUND(Q$31-P$31-Q$15 + IF(AND(OFFSET(Scenarios!$A$37,0,$C$1)="Yes",Q$4&gt;=OFFSET(Scenarios!$A$38,0,$C$1),Q$4&lt;=OFFSET(Scenarios!$A$39,0,$C$1)),OFFSET(Scenarios!$A$40,0,$C$1)*(1+OFFSET(Scenarios!$A$41,0,$C$1))^MAX(0,Q$4-OFFSET(Scenarios!$A$38,0,$C$1)),0),3)=0,"OK","ERROR")</f>
        <v>OK</v>
      </c>
      <c r="R43" s="385" t="str">
        <f ca="1">IF(ROUND(R$31-Q$31-R$15 + IF(AND(OFFSET(Scenarios!$A$37,0,$C$1)="Yes",R$4&gt;=OFFSET(Scenarios!$A$38,0,$C$1),R$4&lt;=OFFSET(Scenarios!$A$39,0,$C$1)),OFFSET(Scenarios!$A$40,0,$C$1)*(1+OFFSET(Scenarios!$A$41,0,$C$1))^MAX(0,R$4-OFFSET(Scenarios!$A$38,0,$C$1)),0),3)=0,"OK","ERROR")</f>
        <v>OK</v>
      </c>
      <c r="S43" s="385" t="str">
        <f ca="1">IF(ROUND(S$31-R$31-S$15 + IF(AND(OFFSET(Scenarios!$A$37,0,$C$1)="Yes",S$4&gt;=OFFSET(Scenarios!$A$38,0,$C$1),S$4&lt;=OFFSET(Scenarios!$A$39,0,$C$1)),OFFSET(Scenarios!$A$40,0,$C$1)*(1+OFFSET(Scenarios!$A$41,0,$C$1))^MAX(0,S$4-OFFSET(Scenarios!$A$38,0,$C$1)),0),3)=0,"OK","ERROR")</f>
        <v>OK</v>
      </c>
      <c r="T43" s="385" t="str">
        <f ca="1">IF(ROUND(T$31-S$31-T$15 + IF(AND(OFFSET(Scenarios!$A$37,0,$C$1)="Yes",T$4&gt;=OFFSET(Scenarios!$A$38,0,$C$1),T$4&lt;=OFFSET(Scenarios!$A$39,0,$C$1)),OFFSET(Scenarios!$A$40,0,$C$1)*(1+OFFSET(Scenarios!$A$41,0,$C$1))^MAX(0,T$4-OFFSET(Scenarios!$A$38,0,$C$1)),0),3)=0,"OK","ERROR")</f>
        <v>OK</v>
      </c>
      <c r="U43" s="385" t="str">
        <f ca="1">IF(ROUND(U$31-T$31-U$15 + IF(AND(OFFSET(Scenarios!$A$37,0,$C$1)="Yes",U$4&gt;=OFFSET(Scenarios!$A$38,0,$C$1),U$4&lt;=OFFSET(Scenarios!$A$39,0,$C$1)),OFFSET(Scenarios!$A$40,0,$C$1)*(1+OFFSET(Scenarios!$A$41,0,$C$1))^MAX(0,U$4-OFFSET(Scenarios!$A$38,0,$C$1)),0),3)=0,"OK","ERROR")</f>
        <v>OK</v>
      </c>
      <c r="V43" s="385" t="str">
        <f ca="1">IF(ROUND(V$31-U$31-V$15 + IF(AND(OFFSET(Scenarios!$A$37,0,$C$1)="Yes",V$4&gt;=OFFSET(Scenarios!$A$38,0,$C$1),V$4&lt;=OFFSET(Scenarios!$A$39,0,$C$1)),OFFSET(Scenarios!$A$40,0,$C$1)*(1+OFFSET(Scenarios!$A$41,0,$C$1))^MAX(0,V$4-OFFSET(Scenarios!$A$38,0,$C$1)),0),3)=0,"OK","ERROR")</f>
        <v>OK</v>
      </c>
      <c r="W43" s="385" t="str">
        <f ca="1">IF(ROUND(W$31-V$31-W$15 + IF(AND(OFFSET(Scenarios!$A$37,0,$C$1)="Yes",W$4&gt;=OFFSET(Scenarios!$A$38,0,$C$1),W$4&lt;=OFFSET(Scenarios!$A$39,0,$C$1)),OFFSET(Scenarios!$A$40,0,$C$1)*(1+OFFSET(Scenarios!$A$41,0,$C$1))^MAX(0,W$4-OFFSET(Scenarios!$A$38,0,$C$1)),0),3)=0,"OK","ERROR")</f>
        <v>OK</v>
      </c>
      <c r="X43" s="385" t="str">
        <f ca="1">IF(ROUND(X$31-W$31-X$15 + IF(AND(OFFSET(Scenarios!$A$37,0,$C$1)="Yes",X$4&gt;=OFFSET(Scenarios!$A$38,0,$C$1),X$4&lt;=OFFSET(Scenarios!$A$39,0,$C$1)),OFFSET(Scenarios!$A$40,0,$C$1)*(1+OFFSET(Scenarios!$A$41,0,$C$1))^MAX(0,X$4-OFFSET(Scenarios!$A$38,0,$C$1)),0),3)=0,"OK","ERROR")</f>
        <v>OK</v>
      </c>
    </row>
    <row r="44" spans="1:24" x14ac:dyDescent="0.2">
      <c r="A44" s="220" t="s">
        <v>510</v>
      </c>
      <c r="B44" s="228"/>
      <c r="C44"/>
      <c r="D44" s="266" t="str">
        <f>IF(ROUND(Data!C$121-D$37,3)=0,"OK","ERROR")</f>
        <v>OK</v>
      </c>
      <c r="E44" s="266" t="str">
        <f>IF(ROUND(Data!D$121-E$37,3)=0,"OK","ERROR")</f>
        <v>OK</v>
      </c>
      <c r="F44" s="266" t="str">
        <f>IF(ROUND(Data!E$121-F$37,3)=0,"OK","ERROR")</f>
        <v>OK</v>
      </c>
      <c r="G44" s="266" t="str">
        <f>IF(ROUND(Data!F$121-G$37,3)=0,"OK","ERROR")</f>
        <v>OK</v>
      </c>
      <c r="H44" s="266" t="str">
        <f>IF(ROUND(Data!G$121-H$37,3)=0,"OK","ERROR")</f>
        <v>OK</v>
      </c>
      <c r="I44" s="266" t="str">
        <f>IF(ROUND(Data!H$121-I$37,3)=0,"OK","ERROR")</f>
        <v>OK</v>
      </c>
      <c r="J44" s="155" t="str">
        <f ca="1">IF(ROUND(Data!I$121-J$37 + IF($F$1="Yes",J$341,0) + IF($I$1="Yes",J$327,0) + IF($L$1="Yes",J$359,0),3)=0,"OK","ERROR")</f>
        <v>OK</v>
      </c>
      <c r="K44" s="155" t="str">
        <f ca="1">IF(ROUND(Data!J$121-K$37 + IF($F$1="Yes",K$341,0) + IF($I$1="Yes",K$327,0) + IF($L$1="Yes",K$359,0),3)=0,"OK","ERROR")</f>
        <v>OK</v>
      </c>
      <c r="L44" s="155" t="str">
        <f ca="1">IF(ROUND(Data!K$121-L$37 + IF($F$1="Yes",L$341,0) + IF($I$1="Yes",L$327,0) + IF($L$1="Yes",L$359,0),3)=0,"OK","ERROR")</f>
        <v>OK</v>
      </c>
      <c r="M44" s="155" t="str">
        <f ca="1">IF(ROUND(Data!L$121-M$37 + IF($F$1="Yes",M$341,0) + IF($I$1="Yes",M$327,0) + IF($L$1="Yes",M$359,0),3)=0,"OK","ERROR")</f>
        <v>OK</v>
      </c>
      <c r="N44" s="155" t="str">
        <f ca="1">IF(ROUND(Data!M$121-N$37 + IF($F$1="Yes",N$341,0) + IF($I$1="Yes",N$327,0) + IF($L$1="Yes",N$359,0),3)=0,"OK","ERROR")</f>
        <v>OK</v>
      </c>
      <c r="O44" s="385" t="str">
        <f ca="1">IF(ROUND(O$37-N$37-O$24 + IF(AND(OFFSET(Scenarios!$A$37,0,$C$1)="Yes",O$4&gt;=OFFSET(Scenarios!$A$38,0,$C$1),O$4&lt;=OFFSET(Scenarios!$A$39,0,$C$1)),OFFSET(Scenarios!$A$40,0,$C$1)*(1+OFFSET(Scenarios!$A$41,0,$C$1))^MAX(0,O$4-OFFSET(Scenarios!$A$38,0,$C$1)),0),3)=0,"OK","ERROR")</f>
        <v>OK</v>
      </c>
      <c r="P44" s="385" t="str">
        <f ca="1">IF(ROUND(P$37-O$37-P$24 + IF(AND(OFFSET(Scenarios!$A$37,0,$C$1)="Yes",P$4&gt;=OFFSET(Scenarios!$A$38,0,$C$1),P$4&lt;=OFFSET(Scenarios!$A$39,0,$C$1)),OFFSET(Scenarios!$A$40,0,$C$1)*(1+OFFSET(Scenarios!$A$41,0,$C$1))^MAX(0,P$4-OFFSET(Scenarios!$A$38,0,$C$1)),0),3)=0,"OK","ERROR")</f>
        <v>OK</v>
      </c>
      <c r="Q44" s="385" t="str">
        <f ca="1">IF(ROUND(Q$37-P$37-Q$24 + IF(AND(OFFSET(Scenarios!$A$37,0,$C$1)="Yes",Q$4&gt;=OFFSET(Scenarios!$A$38,0,$C$1),Q$4&lt;=OFFSET(Scenarios!$A$39,0,$C$1)),OFFSET(Scenarios!$A$40,0,$C$1)*(1+OFFSET(Scenarios!$A$41,0,$C$1))^MAX(0,Q$4-OFFSET(Scenarios!$A$38,0,$C$1)),0),3)=0,"OK","ERROR")</f>
        <v>OK</v>
      </c>
      <c r="R44" s="385" t="str">
        <f ca="1">IF(ROUND(R$37-Q$37-R$24 + IF(AND(OFFSET(Scenarios!$A$37,0,$C$1)="Yes",R$4&gt;=OFFSET(Scenarios!$A$38,0,$C$1),R$4&lt;=OFFSET(Scenarios!$A$39,0,$C$1)),OFFSET(Scenarios!$A$40,0,$C$1)*(1+OFFSET(Scenarios!$A$41,0,$C$1))^MAX(0,R$4-OFFSET(Scenarios!$A$38,0,$C$1)),0),3)=0,"OK","ERROR")</f>
        <v>OK</v>
      </c>
      <c r="S44" s="385" t="str">
        <f ca="1">IF(ROUND(S$37-R$37-S$24 + IF(AND(OFFSET(Scenarios!$A$37,0,$C$1)="Yes",S$4&gt;=OFFSET(Scenarios!$A$38,0,$C$1),S$4&lt;=OFFSET(Scenarios!$A$39,0,$C$1)),OFFSET(Scenarios!$A$40,0,$C$1)*(1+OFFSET(Scenarios!$A$41,0,$C$1))^MAX(0,S$4-OFFSET(Scenarios!$A$38,0,$C$1)),0),3)=0,"OK","ERROR")</f>
        <v>OK</v>
      </c>
      <c r="T44" s="385" t="str">
        <f ca="1">IF(ROUND(T$37-S$37-T$24 + IF(AND(OFFSET(Scenarios!$A$37,0,$C$1)="Yes",T$4&gt;=OFFSET(Scenarios!$A$38,0,$C$1),T$4&lt;=OFFSET(Scenarios!$A$39,0,$C$1)),OFFSET(Scenarios!$A$40,0,$C$1)*(1+OFFSET(Scenarios!$A$41,0,$C$1))^MAX(0,T$4-OFFSET(Scenarios!$A$38,0,$C$1)),0),3)=0,"OK","ERROR")</f>
        <v>OK</v>
      </c>
      <c r="U44" s="385" t="str">
        <f ca="1">IF(ROUND(U$37-T$37-U$24 + IF(AND(OFFSET(Scenarios!$A$37,0,$C$1)="Yes",U$4&gt;=OFFSET(Scenarios!$A$38,0,$C$1),U$4&lt;=OFFSET(Scenarios!$A$39,0,$C$1)),OFFSET(Scenarios!$A$40,0,$C$1)*(1+OFFSET(Scenarios!$A$41,0,$C$1))^MAX(0,U$4-OFFSET(Scenarios!$A$38,0,$C$1)),0),3)=0,"OK","ERROR")</f>
        <v>OK</v>
      </c>
      <c r="V44" s="385" t="str">
        <f ca="1">IF(ROUND(V$37-U$37-V$24 + IF(AND(OFFSET(Scenarios!$A$37,0,$C$1)="Yes",V$4&gt;=OFFSET(Scenarios!$A$38,0,$C$1),V$4&lt;=OFFSET(Scenarios!$A$39,0,$C$1)),OFFSET(Scenarios!$A$40,0,$C$1)*(1+OFFSET(Scenarios!$A$41,0,$C$1))^MAX(0,V$4-OFFSET(Scenarios!$A$38,0,$C$1)),0),3)=0,"OK","ERROR")</f>
        <v>OK</v>
      </c>
      <c r="W44" s="385" t="str">
        <f ca="1">IF(ROUND(W$37-V$37-W$24 + IF(AND(OFFSET(Scenarios!$A$37,0,$C$1)="Yes",W$4&gt;=OFFSET(Scenarios!$A$38,0,$C$1),W$4&lt;=OFFSET(Scenarios!$A$39,0,$C$1)),OFFSET(Scenarios!$A$40,0,$C$1)*(1+OFFSET(Scenarios!$A$41,0,$C$1))^MAX(0,W$4-OFFSET(Scenarios!$A$38,0,$C$1)),0),3)=0,"OK","ERROR")</f>
        <v>OK</v>
      </c>
      <c r="X44" s="385" t="str">
        <f ca="1">IF(ROUND(X$37-W$37-X$24 + IF(AND(OFFSET(Scenarios!$A$37,0,$C$1)="Yes",X$4&gt;=OFFSET(Scenarios!$A$38,0,$C$1),X$4&lt;=OFFSET(Scenarios!$A$39,0,$C$1)),OFFSET(Scenarios!$A$40,0,$C$1)*(1+OFFSET(Scenarios!$A$41,0,$C$1))^MAX(0,X$4-OFFSET(Scenarios!$A$38,0,$C$1)),0),3)=0,"OK","ERROR")</f>
        <v>OK</v>
      </c>
    </row>
    <row r="45" spans="1:24" x14ac:dyDescent="0.2">
      <c r="A45" s="220" t="s">
        <v>671</v>
      </c>
      <c r="B45" s="228"/>
      <c r="C45" s="71"/>
      <c r="D45" s="266" t="str">
        <f>IF(ROUND(Data!C$93-D$39,3)=0,"OK","ERROR")</f>
        <v>OK</v>
      </c>
      <c r="E45" s="266" t="str">
        <f>IF(ROUND(Data!D$93-E$39,3)=0,"OK","ERROR")</f>
        <v>OK</v>
      </c>
      <c r="F45" s="266" t="str">
        <f>IF(ROUND(Data!E$93-F$39,3)=0,"OK","ERROR")</f>
        <v>OK</v>
      </c>
      <c r="G45" s="266" t="str">
        <f>IF(ROUND(Data!F$93-G$39,3)=0,"OK","ERROR")</f>
        <v>OK</v>
      </c>
      <c r="H45" s="266" t="str">
        <f>IF(ROUND(Data!G$93-H$39,3)=0,"OK","ERROR")</f>
        <v>OK</v>
      </c>
      <c r="I45" s="266" t="str">
        <f>IF(ROUND(Data!H$93-I$39,3)=0,"OK","ERROR")</f>
        <v>OK</v>
      </c>
      <c r="J45" s="155" t="str">
        <f>IF(ROUND(Data!I$93-J$39 + IF($F$1="Yes",J$345,0) + IF($I$1="Yes",J$332,0) + IF($L$1="Yes",J$362,0),3)=0,"OK","ERROR")</f>
        <v>OK</v>
      </c>
      <c r="K45" s="155" t="str">
        <f>IF(ROUND(Data!J$93-K$39 + IF($F$1="Yes",K$345,0) + IF($I$1="Yes",K$332,0) + IF($L$1="Yes",K$362,0),3)=0,"OK","ERROR")</f>
        <v>OK</v>
      </c>
      <c r="L45" s="155" t="str">
        <f>IF(ROUND(Data!K$93-L$39 + IF($F$1="Yes",L$345,0) + IF($I$1="Yes",L$332,0) + IF($L$1="Yes",L$362,0),3)=0,"OK","ERROR")</f>
        <v>OK</v>
      </c>
      <c r="M45" s="155" t="str">
        <f>IF(ROUND(Data!L$93-M$39 + IF($F$1="Yes",M$345,0) + IF($I$1="Yes",M$332,0) + IF($L$1="Yes",M$362,0),3)=0,"OK","ERROR")</f>
        <v>OK</v>
      </c>
      <c r="N45" s="155" t="str">
        <f>IF(ROUND(Data!M$93-N$39 + IF($F$1="Yes",N$345,0) + IF($I$1="Yes",N$332,0) + IF($L$1="Yes",N$362,0),3)=0,"OK","ERROR")</f>
        <v>OK</v>
      </c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x14ac:dyDescent="0.2">
      <c r="A46" s="22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.75" x14ac:dyDescent="0.25">
      <c r="A47" s="150" t="s">
        <v>130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x14ac:dyDescent="0.2">
      <c r="A48" s="106" t="s">
        <v>273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 s="157" t="s">
        <v>185</v>
      </c>
      <c r="B49" s="228"/>
      <c r="C49"/>
      <c r="D49" s="69">
        <f>Data!C$124</f>
        <v>20.98</v>
      </c>
      <c r="E49" s="69">
        <f>Data!D$124</f>
        <v>23.344999999999999</v>
      </c>
      <c r="F49" s="69">
        <f>Data!E$124</f>
        <v>22.587</v>
      </c>
      <c r="G49" s="69">
        <f>Data!F$124</f>
        <v>21.774000000000001</v>
      </c>
      <c r="H49" s="69">
        <f>Data!G$124</f>
        <v>20.856999999999999</v>
      </c>
      <c r="I49" s="69">
        <f>Data!H$124</f>
        <v>21.236999999999998</v>
      </c>
      <c r="J49" s="123">
        <f ca="1">Data!I$124*IF($F$1="Yes",OFFSET('Forecast Adjuster'!$A$65,0,J$289),1) + IF($I$1="Yes",J$291,0)</f>
        <v>22.387</v>
      </c>
      <c r="K49" s="123">
        <f ca="1">Data!J$124*IF($F$1="Yes",OFFSET('Forecast Adjuster'!$A$65,0,K$289),1) + IF($I$1="Yes",K$291,0)</f>
        <v>23.709</v>
      </c>
      <c r="L49" s="123">
        <f ca="1">Data!K$124*IF($F$1="Yes",OFFSET('Forecast Adjuster'!$A$65,0,L$289),1) + IF($I$1="Yes",L$291,0)</f>
        <v>24.890999999999998</v>
      </c>
      <c r="M49" s="123">
        <f ca="1">Data!L$124*IF($F$1="Yes",OFFSET('Forecast Adjuster'!$A$65,0,M$289),1) + IF($I$1="Yes",M$291,0)</f>
        <v>26.114000000000001</v>
      </c>
      <c r="N49" s="123">
        <f ca="1">Data!M$124*IF($F$1="Yes",OFFSET('Forecast Adjuster'!$A$65,0,N$289),1) + IF($I$1="Yes",N$291,0)</f>
        <v>27.53</v>
      </c>
      <c r="O49" s="73">
        <f ca="1">IF(AND(OFFSET(Scenarios!$A$23,0,$C$1)="YES",OFFSET(Scenarios!$A$25,0,$C$1)&gt;=O$4),N$49*(1+O$256)*(1+OFFSET(Scenarios!$A$24,0,$C$1)*O$247)*(1+OFFSET(Scenarios!$A$24,0,$C$1)*O$259),IF(OFFSET(Scenarios!$A$55,0,$C$1)="Yes",IF(N$49/N$244&lt;OFFSET(Scenarios!$A$64,0,$C$1),MIN(N$49/N$244+OFFSET(Scenarios!$A$63,0,$C$1),OFFSET(Scenarios!$A$64,0,$C$1)),MAX(N$49/N$244-OFFSET(Scenarios!$A$63,0,$C$1),OFFSET(Scenarios!$A$64,0,$C$1)))*O$244,N$49*(1+O$256)*(1+O$247)*(1+O$259)))</f>
        <v>29.109199580834453</v>
      </c>
      <c r="P49" s="73">
        <f ca="1">IF(AND(OFFSET(Scenarios!$A$23,0,$C$1)="YES",OFFSET(Scenarios!$A$25,0,$C$1)&gt;=P$4),O$49*(1+P$256)*(1+OFFSET(Scenarios!$A$24,0,$C$1)*P$247)*(1+OFFSET(Scenarios!$A$24,0,$C$1)*P$259),IF(OFFSET(Scenarios!$A$55,0,$C$1)="Yes",IF(O$49/O$244&lt;OFFSET(Scenarios!$A$64,0,$C$1),MIN(O$49/O$244+OFFSET(Scenarios!$A$63,0,$C$1),OFFSET(Scenarios!$A$64,0,$C$1)),MAX(O$49/O$244-OFFSET(Scenarios!$A$63,0,$C$1),OFFSET(Scenarios!$A$64,0,$C$1)))*P$244,O$49*(1+P$256)*(1+P$247)*(1+P$259)))</f>
        <v>30.779631131708232</v>
      </c>
      <c r="Q49" s="73">
        <f ca="1">IF(AND(OFFSET(Scenarios!$A$23,0,$C$1)="YES",OFFSET(Scenarios!$A$25,0,$C$1)&gt;=Q$4),P$49*(1+Q$256)*(1+OFFSET(Scenarios!$A$24,0,$C$1)*Q$247)*(1+OFFSET(Scenarios!$A$24,0,$C$1)*Q$259),IF(OFFSET(Scenarios!$A$55,0,$C$1)="Yes",IF(P$49/P$244&lt;OFFSET(Scenarios!$A$64,0,$C$1),MIN(P$49/P$244+OFFSET(Scenarios!$A$63,0,$C$1),OFFSET(Scenarios!$A$64,0,$C$1)),MAX(P$49/P$244-OFFSET(Scenarios!$A$63,0,$C$1),OFFSET(Scenarios!$A$64,0,$C$1)))*Q$244,P$49*(1+Q$256)*(1+Q$247)*(1+Q$259)))</f>
        <v>32.608210720501397</v>
      </c>
      <c r="R49" s="73">
        <f ca="1">IF(AND(OFFSET(Scenarios!$A$23,0,$C$1)="YES",OFFSET(Scenarios!$A$25,0,$C$1)&gt;=R$4),Q$49*(1+R$256)*(1+OFFSET(Scenarios!$A$24,0,$C$1)*R$247)*(1+OFFSET(Scenarios!$A$24,0,$C$1)*R$259),IF(OFFSET(Scenarios!$A$55,0,$C$1)="Yes",IF(Q$49/Q$244&lt;OFFSET(Scenarios!$A$64,0,$C$1),MIN(Q$49/Q$244+OFFSET(Scenarios!$A$63,0,$C$1),OFFSET(Scenarios!$A$64,0,$C$1)),MAX(Q$49/Q$244-OFFSET(Scenarios!$A$63,0,$C$1),OFFSET(Scenarios!$A$64,0,$C$1)))*R$244,Q$49*(1+R$256)*(1+R$247)*(1+R$259)))</f>
        <v>34.429455755513764</v>
      </c>
      <c r="S49" s="73">
        <f ca="1">IF(AND(OFFSET(Scenarios!$A$23,0,$C$1)="YES",OFFSET(Scenarios!$A$25,0,$C$1)&gt;=S$4),R$49*(1+S$256)*(1+OFFSET(Scenarios!$A$24,0,$C$1)*S$247)*(1+OFFSET(Scenarios!$A$24,0,$C$1)*S$259),IF(OFFSET(Scenarios!$A$55,0,$C$1)="Yes",IF(R$49/R$244&lt;OFFSET(Scenarios!$A$64,0,$C$1),MIN(R$49/R$244+OFFSET(Scenarios!$A$63,0,$C$1),OFFSET(Scenarios!$A$64,0,$C$1)),MAX(R$49/R$244-OFFSET(Scenarios!$A$63,0,$C$1),OFFSET(Scenarios!$A$64,0,$C$1)))*S$244,R$49*(1+S$256)*(1+S$247)*(1+S$259)))</f>
        <v>36.012707614232738</v>
      </c>
      <c r="T49" s="73">
        <f ca="1">IF(AND(OFFSET(Scenarios!$A$23,0,$C$1)="YES",OFFSET(Scenarios!$A$25,0,$C$1)&gt;=T$4),S$49*(1+T$256)*(1+OFFSET(Scenarios!$A$24,0,$C$1)*T$247)*(1+OFFSET(Scenarios!$A$24,0,$C$1)*T$259),IF(OFFSET(Scenarios!$A$55,0,$C$1)="Yes",IF(S$49/S$244&lt;OFFSET(Scenarios!$A$64,0,$C$1),MIN(S$49/S$244+OFFSET(Scenarios!$A$63,0,$C$1),OFFSET(Scenarios!$A$64,0,$C$1)),MAX(S$49/S$244-OFFSET(Scenarios!$A$63,0,$C$1),OFFSET(Scenarios!$A$64,0,$C$1)))*T$244,S$49*(1+T$256)*(1+T$247)*(1+T$259)))</f>
        <v>37.638655156478187</v>
      </c>
      <c r="U49" s="73">
        <f ca="1">IF(AND(OFFSET(Scenarios!$A$23,0,$C$1)="YES",OFFSET(Scenarios!$A$25,0,$C$1)&gt;=U$4),T$49*(1+U$256)*(1+OFFSET(Scenarios!$A$24,0,$C$1)*U$247)*(1+OFFSET(Scenarios!$A$24,0,$C$1)*U$259),IF(OFFSET(Scenarios!$A$55,0,$C$1)="Yes",IF(T$49/T$244&lt;OFFSET(Scenarios!$A$64,0,$C$1),MIN(T$49/T$244+OFFSET(Scenarios!$A$63,0,$C$1),OFFSET(Scenarios!$A$64,0,$C$1)),MAX(T$49/T$244-OFFSET(Scenarios!$A$63,0,$C$1),OFFSET(Scenarios!$A$64,0,$C$1)))*U$244,T$49*(1+U$256)*(1+U$247)*(1+U$259)))</f>
        <v>39.311078684799256</v>
      </c>
      <c r="V49" s="73">
        <f ca="1">IF(AND(OFFSET(Scenarios!$A$23,0,$C$1)="YES",OFFSET(Scenarios!$A$25,0,$C$1)&gt;=V$4),U$49*(1+V$256)*(1+OFFSET(Scenarios!$A$24,0,$C$1)*V$247)*(1+OFFSET(Scenarios!$A$24,0,$C$1)*V$259),IF(OFFSET(Scenarios!$A$55,0,$C$1)="Yes",IF(U$49/U$244&lt;OFFSET(Scenarios!$A$64,0,$C$1),MIN(U$49/U$244+OFFSET(Scenarios!$A$63,0,$C$1),OFFSET(Scenarios!$A$64,0,$C$1)),MAX(U$49/U$244-OFFSET(Scenarios!$A$63,0,$C$1),OFFSET(Scenarios!$A$64,0,$C$1)))*V$244,U$49*(1+V$256)*(1+V$247)*(1+V$259)))</f>
        <v>41.048003546838203</v>
      </c>
      <c r="W49" s="73">
        <f ca="1">IF(AND(OFFSET(Scenarios!$A$23,0,$C$1)="YES",OFFSET(Scenarios!$A$25,0,$C$1)&gt;=W$4),V$49*(1+W$256)*(1+OFFSET(Scenarios!$A$24,0,$C$1)*W$247)*(1+OFFSET(Scenarios!$A$24,0,$C$1)*W$259),IF(OFFSET(Scenarios!$A$55,0,$C$1)="Yes",IF(V$49/V$244&lt;OFFSET(Scenarios!$A$64,0,$C$1),MIN(V$49/V$244+OFFSET(Scenarios!$A$63,0,$C$1),OFFSET(Scenarios!$A$64,0,$C$1)),MAX(V$49/V$244-OFFSET(Scenarios!$A$63,0,$C$1),OFFSET(Scenarios!$A$64,0,$C$1)))*W$244,V$49*(1+W$256)*(1+W$247)*(1+W$259)))</f>
        <v>42.83907964620856</v>
      </c>
      <c r="X49" s="73">
        <f ca="1">IF(AND(OFFSET(Scenarios!$A$23,0,$C$1)="YES",OFFSET(Scenarios!$A$25,0,$C$1)&gt;=X$4),W$49*(1+X$256)*(1+OFFSET(Scenarios!$A$24,0,$C$1)*X$247)*(1+OFFSET(Scenarios!$A$24,0,$C$1)*X$259),IF(OFFSET(Scenarios!$A$55,0,$C$1)="Yes",IF(W$49/W$244&lt;OFFSET(Scenarios!$A$64,0,$C$1),MIN(W$49/W$244+OFFSET(Scenarios!$A$63,0,$C$1),OFFSET(Scenarios!$A$64,0,$C$1)),MAX(W$49/W$244-OFFSET(Scenarios!$A$63,0,$C$1),OFFSET(Scenarios!$A$64,0,$C$1)))*X$244,W$49*(1+X$256)*(1+X$247)*(1+X$259)))</f>
        <v>44.680669984275511</v>
      </c>
    </row>
    <row r="50" spans="1:24" x14ac:dyDescent="0.2">
      <c r="A50" s="157" t="s">
        <v>328</v>
      </c>
      <c r="B50" s="228"/>
      <c r="C50" s="69"/>
      <c r="D50" s="69">
        <f>Data!C$128</f>
        <v>9.891</v>
      </c>
      <c r="E50" s="69">
        <f>Data!D$128</f>
        <v>10.122</v>
      </c>
      <c r="F50" s="69">
        <f>Data!E$128</f>
        <v>9.2759999999999998</v>
      </c>
      <c r="G50" s="69">
        <f>Data!F$128</f>
        <v>7.2</v>
      </c>
      <c r="H50" s="69">
        <f>Data!G$128</f>
        <v>6.9569999999999999</v>
      </c>
      <c r="I50" s="69">
        <f>Data!H$128</f>
        <v>8.6120000000000001</v>
      </c>
      <c r="J50" s="123">
        <f ca="1">Data!I$128*IF($F$1="Yes",OFFSET('Forecast Adjuster'!$A$65,0,J$289),1) + IF($I$1="Yes",J$292,0)</f>
        <v>8.6229999999999993</v>
      </c>
      <c r="K50" s="123">
        <f ca="1">Data!J$128*IF($F$1="Yes",OFFSET('Forecast Adjuster'!$A$65,0,K$289),1) + IF($I$1="Yes",K$292,0)</f>
        <v>9.49</v>
      </c>
      <c r="L50" s="123">
        <f ca="1">Data!K$128*IF($F$1="Yes",OFFSET('Forecast Adjuster'!$A$65,0,L$289),1) + IF($I$1="Yes",L$292,0)</f>
        <v>10.042999999999999</v>
      </c>
      <c r="M50" s="123">
        <f ca="1">Data!L$128*IF($F$1="Yes",OFFSET('Forecast Adjuster'!$A$65,0,M$289),1) + IF($I$1="Yes",M$292,0)</f>
        <v>10.44</v>
      </c>
      <c r="N50" s="123">
        <f ca="1">Data!M$128*IF($F$1="Yes",OFFSET('Forecast Adjuster'!$A$65,0,N$289),1) + IF($I$1="Yes",N$292,0)</f>
        <v>10.724</v>
      </c>
      <c r="O50" s="73">
        <f ca="1">IF(OFFSET(Scenarios!$A$56,0,$C$1)="Yes",IF(N$50/N$244&lt;OFFSET(Scenarios!$A$65,0,$C$1),MIN(N$50/N$244+OFFSET(Scenarios!$A$63,0,$C$1),OFFSET(Scenarios!$A$65,0,$C$1)),MAX(N$50/N$244-OFFSET(Scenarios!$A$63,0,$C$1),OFFSET(Scenarios!$A$65,0,$C$1)))*O$244,N$50*(1+O$245))</f>
        <v>11.742738391510208</v>
      </c>
      <c r="P50" s="73">
        <f ca="1">IF(OFFSET(Scenarios!$A$56,0,$C$1)="Yes",IF(O$50/O$244&lt;OFFSET(Scenarios!$A$65,0,$C$1),MIN(O$50/O$244+OFFSET(Scenarios!$A$63,0,$C$1),OFFSET(Scenarios!$A$65,0,$C$1)),MAX(O$50/O$244-OFFSET(Scenarios!$A$63,0,$C$1),OFFSET(Scenarios!$A$65,0,$C$1)))*P$244,O$50*(1+P$245))</f>
        <v>12.357525581552293</v>
      </c>
      <c r="Q50" s="73">
        <f ca="1">IF(OFFSET(Scenarios!$A$56,0,$C$1)="Yes",IF(P$50/P$244&lt;OFFSET(Scenarios!$A$65,0,$C$1),MIN(P$50/P$244+OFFSET(Scenarios!$A$63,0,$C$1),OFFSET(Scenarios!$A$65,0,$C$1)),MAX(P$50/P$244-OFFSET(Scenarios!$A$63,0,$C$1),OFFSET(Scenarios!$A$65,0,$C$1)))*Q$244,P$50*(1+Q$245))</f>
        <v>12.927742667586536</v>
      </c>
      <c r="R50" s="73">
        <f ca="1">IF(OFFSET(Scenarios!$A$56,0,$C$1)="Yes",IF(Q$50/Q$244&lt;OFFSET(Scenarios!$A$65,0,$C$1),MIN(Q$50/Q$244+OFFSET(Scenarios!$A$63,0,$C$1),OFFSET(Scenarios!$A$65,0,$C$1)),MAX(Q$50/Q$244-OFFSET(Scenarios!$A$63,0,$C$1),OFFSET(Scenarios!$A$65,0,$C$1)))*R$244,Q$50*(1+R$245))</f>
        <v>13.525857618237549</v>
      </c>
      <c r="S50" s="73">
        <f ca="1">IF(OFFSET(Scenarios!$A$56,0,$C$1)="Yes",IF(R$50/R$244&lt;OFFSET(Scenarios!$A$65,0,$C$1),MIN(R$50/R$244+OFFSET(Scenarios!$A$63,0,$C$1),OFFSET(Scenarios!$A$65,0,$C$1)),MAX(R$50/R$244-OFFSET(Scenarios!$A$63,0,$C$1),OFFSET(Scenarios!$A$65,0,$C$1)))*S$244,R$50*(1+S$245))</f>
        <v>14.147849419877145</v>
      </c>
      <c r="T50" s="73">
        <f ca="1">IF(OFFSET(Scenarios!$A$56,0,$C$1)="Yes",IF(S$50/S$244&lt;OFFSET(Scenarios!$A$65,0,$C$1),MIN(S$50/S$244+OFFSET(Scenarios!$A$63,0,$C$1),OFFSET(Scenarios!$A$65,0,$C$1)),MAX(S$50/S$244-OFFSET(Scenarios!$A$63,0,$C$1),OFFSET(Scenarios!$A$65,0,$C$1)))*T$244,S$50*(1+T$245))</f>
        <v>14.786614525759287</v>
      </c>
      <c r="U50" s="73">
        <f ca="1">IF(OFFSET(Scenarios!$A$56,0,$C$1)="Yes",IF(T$50/T$244&lt;OFFSET(Scenarios!$A$65,0,$C$1),MIN(T$50/T$244+OFFSET(Scenarios!$A$63,0,$C$1),OFFSET(Scenarios!$A$65,0,$C$1)),MAX(T$50/T$244-OFFSET(Scenarios!$A$63,0,$C$1),OFFSET(Scenarios!$A$65,0,$C$1)))*U$244,T$50*(1+U$245))</f>
        <v>15.443638054742564</v>
      </c>
      <c r="V50" s="73">
        <f ca="1">IF(OFFSET(Scenarios!$A$56,0,$C$1)="Yes",IF(U$50/U$244&lt;OFFSET(Scenarios!$A$65,0,$C$1),MIN(U$50/U$244+OFFSET(Scenarios!$A$63,0,$C$1),OFFSET(Scenarios!$A$65,0,$C$1)),MAX(U$50/U$244-OFFSET(Scenarios!$A$63,0,$C$1),OFFSET(Scenarios!$A$65,0,$C$1)))*V$244,U$50*(1+V$245))</f>
        <v>16.12600139340072</v>
      </c>
      <c r="W50" s="73">
        <f ca="1">IF(OFFSET(Scenarios!$A$56,0,$C$1)="Yes",IF(V$50/V$244&lt;OFFSET(Scenarios!$A$65,0,$C$1),MIN(V$50/V$244+OFFSET(Scenarios!$A$63,0,$C$1),OFFSET(Scenarios!$A$65,0,$C$1)),MAX(V$50/V$244-OFFSET(Scenarios!$A$63,0,$C$1),OFFSET(Scenarios!$A$65,0,$C$1)))*W$244,V$50*(1+W$245))</f>
        <v>16.829638432439076</v>
      </c>
      <c r="X50" s="73">
        <f ca="1">IF(OFFSET(Scenarios!$A$56,0,$C$1)="Yes",IF(W$50/W$244&lt;OFFSET(Scenarios!$A$65,0,$C$1),MIN(W$50/W$244+OFFSET(Scenarios!$A$63,0,$C$1),OFFSET(Scenarios!$A$65,0,$C$1)),MAX(W$50/W$244-OFFSET(Scenarios!$A$63,0,$C$1),OFFSET(Scenarios!$A$65,0,$C$1)))*X$244,W$50*(1+X$245))</f>
        <v>17.553120350965379</v>
      </c>
    </row>
    <row r="51" spans="1:24" x14ac:dyDescent="0.2">
      <c r="A51" s="157" t="s">
        <v>999</v>
      </c>
      <c r="B51" s="228"/>
      <c r="C51" s="69"/>
      <c r="D51" s="69">
        <f>Data!C$130</f>
        <v>11.215</v>
      </c>
      <c r="E51" s="69">
        <f>Data!D$130</f>
        <v>11.115</v>
      </c>
      <c r="F51" s="69">
        <f>Data!E$130</f>
        <v>11.551</v>
      </c>
      <c r="G51" s="69">
        <f>Data!F$130</f>
        <v>11.917</v>
      </c>
      <c r="H51" s="69">
        <f>Data!G$130</f>
        <v>13.708</v>
      </c>
      <c r="I51" s="69">
        <f>Data!H$130</f>
        <v>14.571999999999999</v>
      </c>
      <c r="J51" s="123">
        <f ca="1">Data!I$130*IF($F$1="Yes",OFFSET('Forecast Adjuster'!$A$65,0,J$289),1) + IF($I$1="Yes",J$293,0)</f>
        <v>15.404999999999999</v>
      </c>
      <c r="K51" s="123">
        <f ca="1">Data!J$130*IF($F$1="Yes",OFFSET('Forecast Adjuster'!$A$65,0,K$289),1) + IF($I$1="Yes",K$293,0)</f>
        <v>16.524999999999999</v>
      </c>
      <c r="L51" s="123">
        <f ca="1">Data!K$130*IF($F$1="Yes",OFFSET('Forecast Adjuster'!$A$65,0,L$289),1) + IF($I$1="Yes",L$293,0)</f>
        <v>17.544</v>
      </c>
      <c r="M51" s="123">
        <f ca="1">Data!L$130*IF($F$1="Yes",OFFSET('Forecast Adjuster'!$A$65,0,M$289),1) + IF($I$1="Yes",M$293,0)</f>
        <v>18.449000000000002</v>
      </c>
      <c r="N51" s="123">
        <f ca="1">Data!M$130*IF($F$1="Yes",OFFSET('Forecast Adjuster'!$A$65,0,N$289),1) + IF($I$1="Yes",N$293,0)</f>
        <v>19.114999999999998</v>
      </c>
      <c r="O51" s="73">
        <f ca="1">IF(OFFSET(Scenarios!$A$57,0,$C$1)="Yes",IF(N$51/N$244&lt;OFFSET(Scenarios!$A$66,0,$C$1),MIN(N$51/N$244+OFFSET(Scenarios!$A$63,0,$C$1),OFFSET(Scenarios!$A$66,0,$C$1)),MAX(N$51/N$244-OFFSET(Scenarios!$A$63,0,$C$1),OFFSET(Scenarios!$A$66,0,$C$1)))*O$244,N$51*(1+O$245))</f>
        <v>19.88832447606277</v>
      </c>
      <c r="P51" s="73">
        <f ca="1">IF(OFFSET(Scenarios!$A$57,0,$C$1)="Yes",IF(O$51/O$244&lt;OFFSET(Scenarios!$A$66,0,$C$1),MIN(O$51/O$244+OFFSET(Scenarios!$A$63,0,$C$1),OFFSET(Scenarios!$A$66,0,$C$1)),MAX(O$51/O$244-OFFSET(Scenarios!$A$63,0,$C$1),OFFSET(Scenarios!$A$66,0,$C$1)))*P$244,O$51*(1+P$245))</f>
        <v>20.783111205337949</v>
      </c>
      <c r="Q51" s="73">
        <f ca="1">IF(OFFSET(Scenarios!$A$57,0,$C$1)="Yes",IF(P$51/P$244&lt;OFFSET(Scenarios!$A$66,0,$C$1),MIN(P$51/P$244+OFFSET(Scenarios!$A$63,0,$C$1),OFFSET(Scenarios!$A$66,0,$C$1)),MAX(P$51/P$244-OFFSET(Scenarios!$A$63,0,$C$1),OFFSET(Scenarios!$A$66,0,$C$1)))*Q$244,P$51*(1+Q$245))</f>
        <v>21.742112668213718</v>
      </c>
      <c r="R51" s="73">
        <f ca="1">IF(OFFSET(Scenarios!$A$57,0,$C$1)="Yes",IF(Q$51/Q$244&lt;OFFSET(Scenarios!$A$66,0,$C$1),MIN(Q$51/Q$244+OFFSET(Scenarios!$A$63,0,$C$1),OFFSET(Scenarios!$A$66,0,$C$1)),MAX(Q$51/Q$244-OFFSET(Scenarios!$A$63,0,$C$1),OFFSET(Scenarios!$A$66,0,$C$1)))*R$244,Q$51*(1+R$245))</f>
        <v>22.748033267035876</v>
      </c>
      <c r="S51" s="73">
        <f ca="1">IF(OFFSET(Scenarios!$A$57,0,$C$1)="Yes",IF(R$51/R$244&lt;OFFSET(Scenarios!$A$66,0,$C$1),MIN(R$51/R$244+OFFSET(Scenarios!$A$63,0,$C$1),OFFSET(Scenarios!$A$66,0,$C$1)),MAX(R$51/R$244-OFFSET(Scenarios!$A$63,0,$C$1),OFFSET(Scenarios!$A$66,0,$C$1)))*S$244,R$51*(1+S$245))</f>
        <v>23.794110387975199</v>
      </c>
      <c r="T51" s="73">
        <f ca="1">IF(OFFSET(Scenarios!$A$57,0,$C$1)="Yes",IF(S$51/S$244&lt;OFFSET(Scenarios!$A$66,0,$C$1),MIN(S$51/S$244+OFFSET(Scenarios!$A$63,0,$C$1),OFFSET(Scenarios!$A$66,0,$C$1)),MAX(S$51/S$244-OFFSET(Scenarios!$A$63,0,$C$1),OFFSET(Scenarios!$A$66,0,$C$1)))*T$244,S$51*(1+T$245))</f>
        <v>24.8683971569588</v>
      </c>
      <c r="U51" s="73">
        <f ca="1">IF(OFFSET(Scenarios!$A$57,0,$C$1)="Yes",IF(T$51/T$244&lt;OFFSET(Scenarios!$A$66,0,$C$1),MIN(T$51/T$244+OFFSET(Scenarios!$A$63,0,$C$1),OFFSET(Scenarios!$A$66,0,$C$1)),MAX(T$51/T$244-OFFSET(Scenarios!$A$63,0,$C$1),OFFSET(Scenarios!$A$66,0,$C$1)))*U$244,T$51*(1+U$245))</f>
        <v>25.973391273885223</v>
      </c>
      <c r="V51" s="73">
        <f ca="1">IF(OFFSET(Scenarios!$A$57,0,$C$1)="Yes",IF(U$51/U$244&lt;OFFSET(Scenarios!$A$66,0,$C$1),MIN(U$51/U$244+OFFSET(Scenarios!$A$63,0,$C$1),OFFSET(Scenarios!$A$66,0,$C$1)),MAX(U$51/U$244-OFFSET(Scenarios!$A$63,0,$C$1),OFFSET(Scenarios!$A$66,0,$C$1)))*V$244,U$51*(1+V$245))</f>
        <v>27.121002343446669</v>
      </c>
      <c r="W51" s="73">
        <f ca="1">IF(OFFSET(Scenarios!$A$57,0,$C$1)="Yes",IF(V$51/V$244&lt;OFFSET(Scenarios!$A$66,0,$C$1),MIN(V$51/V$244+OFFSET(Scenarios!$A$63,0,$C$1),OFFSET(Scenarios!$A$66,0,$C$1)),MAX(V$51/V$244-OFFSET(Scenarios!$A$63,0,$C$1),OFFSET(Scenarios!$A$66,0,$C$1)))*W$244,V$51*(1+W$245))</f>
        <v>28.304391909102083</v>
      </c>
      <c r="X51" s="73">
        <f ca="1">IF(OFFSET(Scenarios!$A$57,0,$C$1)="Yes",IF(W$51/W$244&lt;OFFSET(Scenarios!$A$66,0,$C$1),MIN(W$51/W$244+OFFSET(Scenarios!$A$63,0,$C$1),OFFSET(Scenarios!$A$66,0,$C$1)),MAX(W$51/W$244-OFFSET(Scenarios!$A$63,0,$C$1),OFFSET(Scenarios!$A$66,0,$C$1)))*X$244,W$51*(1+X$245))</f>
        <v>29.52115695389632</v>
      </c>
    </row>
    <row r="52" spans="1:24" x14ac:dyDescent="0.2">
      <c r="A52" s="157" t="s">
        <v>879</v>
      </c>
      <c r="B52" s="228"/>
      <c r="C52" s="69"/>
      <c r="D52" s="69">
        <f>Data!C$131</f>
        <v>2.3879999999999999</v>
      </c>
      <c r="E52" s="69">
        <f>Data!D$131</f>
        <v>2.4239999999999999</v>
      </c>
      <c r="F52" s="69">
        <f>Data!E$131</f>
        <v>2.3339999999999996</v>
      </c>
      <c r="G52" s="69">
        <f>Data!F$131</f>
        <v>2.508</v>
      </c>
      <c r="H52" s="69">
        <f>Data!G$131</f>
        <v>2.6349999999999998</v>
      </c>
      <c r="I52" s="69">
        <f>Data!H$131</f>
        <v>2.698</v>
      </c>
      <c r="J52" s="123">
        <f ca="1">Data!I$131*IF($F$1="Yes",OFFSET('Forecast Adjuster'!$A$65,0,J$289),1) + IF($I$1="Yes",J$294,0)</f>
        <v>2.7290000000000001</v>
      </c>
      <c r="K52" s="123">
        <f ca="1">Data!J$131*IF($F$1="Yes",OFFSET('Forecast Adjuster'!$A$65,0,K$289),1) + IF($I$1="Yes",K$294,0)</f>
        <v>2.9409999999999998</v>
      </c>
      <c r="L52" s="123">
        <f ca="1">Data!K$131*IF($F$1="Yes",OFFSET('Forecast Adjuster'!$A$65,0,L$289),1) + IF($I$1="Yes",L$294,0)</f>
        <v>3.15</v>
      </c>
      <c r="M52" s="123">
        <f ca="1">Data!L$131*IF($F$1="Yes",OFFSET('Forecast Adjuster'!$A$65,0,M$289),1) + IF($I$1="Yes",M$294,0)</f>
        <v>3.3650000000000002</v>
      </c>
      <c r="N52" s="123">
        <f ca="1">Data!M$131*IF($F$1="Yes",OFFSET('Forecast Adjuster'!$A$65,0,N$289),1) + IF($I$1="Yes",N$294,0)</f>
        <v>3.48</v>
      </c>
      <c r="O52" s="73">
        <f ca="1">IF(OFFSET(Scenarios!$A$58,0,$C$1)="Yes",IF(N$52/N$244&lt;OFFSET(Scenarios!$A$67,0,$C$1),MIN(N$52/N$244+OFFSET(Scenarios!$A$63,0,$C$1),OFFSET(Scenarios!$A$67,0,$C$1)),MAX(N$52/N$244-OFFSET(Scenarios!$A$63,0,$C$1),OFFSET(Scenarios!$A$67,0,$C$1)))*O$244,N$52*(1+O$245))</f>
        <v>3.7626559819578218</v>
      </c>
      <c r="P52" s="73">
        <f ca="1">IF(OFFSET(Scenarios!$A$58,0,$C$1)="Yes",IF(O$52/O$244&lt;OFFSET(Scenarios!$A$67,0,$C$1),MIN(O$52/O$244+OFFSET(Scenarios!$A$63,0,$C$1),OFFSET(Scenarios!$A$67,0,$C$1)),MAX(O$52/O$244-OFFSET(Scenarios!$A$63,0,$C$1),OFFSET(Scenarios!$A$67,0,$C$1)))*P$244,O$52*(1+P$245))</f>
        <v>3.9319399577666392</v>
      </c>
      <c r="Q52" s="73">
        <f ca="1">IF(OFFSET(Scenarios!$A$58,0,$C$1)="Yes",IF(P$52/P$244&lt;OFFSET(Scenarios!$A$67,0,$C$1),MIN(P$52/P$244+OFFSET(Scenarios!$A$63,0,$C$1),OFFSET(Scenarios!$A$67,0,$C$1)),MAX(P$52/P$244-OFFSET(Scenarios!$A$63,0,$C$1),OFFSET(Scenarios!$A$67,0,$C$1)))*Q$244,P$52*(1+Q$245))</f>
        <v>4.1133726669593527</v>
      </c>
      <c r="R52" s="73">
        <f ca="1">IF(OFFSET(Scenarios!$A$58,0,$C$1)="Yes",IF(Q$52/Q$244&lt;OFFSET(Scenarios!$A$67,0,$C$1),MIN(Q$52/Q$244+OFFSET(Scenarios!$A$63,0,$C$1),OFFSET(Scenarios!$A$67,0,$C$1)),MAX(Q$52/Q$244-OFFSET(Scenarios!$A$63,0,$C$1),OFFSET(Scenarios!$A$67,0,$C$1)))*R$244,Q$52*(1+R$245))</f>
        <v>4.3036819694392205</v>
      </c>
      <c r="S52" s="73">
        <f ca="1">IF(OFFSET(Scenarios!$A$58,0,$C$1)="Yes",IF(R$52/R$244&lt;OFFSET(Scenarios!$A$67,0,$C$1),MIN(R$52/R$244+OFFSET(Scenarios!$A$63,0,$C$1),OFFSET(Scenarios!$A$67,0,$C$1)),MAX(R$52/R$244-OFFSET(Scenarios!$A$63,0,$C$1),OFFSET(Scenarios!$A$67,0,$C$1)))*S$244,R$52*(1+S$245))</f>
        <v>4.5015884517790923</v>
      </c>
      <c r="T52" s="73">
        <f ca="1">IF(OFFSET(Scenarios!$A$58,0,$C$1)="Yes",IF(S$52/S$244&lt;OFFSET(Scenarios!$A$67,0,$C$1),MIN(S$52/S$244+OFFSET(Scenarios!$A$63,0,$C$1),OFFSET(Scenarios!$A$67,0,$C$1)),MAX(S$52/S$244-OFFSET(Scenarios!$A$63,0,$C$1),OFFSET(Scenarios!$A$67,0,$C$1)))*T$244,S$52*(1+T$245))</f>
        <v>4.7048318945597734</v>
      </c>
      <c r="U52" s="73">
        <f ca="1">IF(OFFSET(Scenarios!$A$58,0,$C$1)="Yes",IF(T$52/T$244&lt;OFFSET(Scenarios!$A$67,0,$C$1),MIN(T$52/T$244+OFFSET(Scenarios!$A$63,0,$C$1),OFFSET(Scenarios!$A$67,0,$C$1)),MAX(T$52/T$244-OFFSET(Scenarios!$A$63,0,$C$1),OFFSET(Scenarios!$A$67,0,$C$1)))*U$244,T$52*(1+U$245))</f>
        <v>4.913884835599907</v>
      </c>
      <c r="V52" s="73">
        <f ca="1">IF(OFFSET(Scenarios!$A$58,0,$C$1)="Yes",IF(U$52/U$244&lt;OFFSET(Scenarios!$A$67,0,$C$1),MIN(U$52/U$244+OFFSET(Scenarios!$A$63,0,$C$1),OFFSET(Scenarios!$A$67,0,$C$1)),MAX(U$52/U$244-OFFSET(Scenarios!$A$63,0,$C$1),OFFSET(Scenarios!$A$67,0,$C$1)))*V$244,U$52*(1+V$245))</f>
        <v>5.1310004433547753</v>
      </c>
      <c r="W52" s="73">
        <f ca="1">IF(OFFSET(Scenarios!$A$58,0,$C$1)="Yes",IF(V$52/V$244&lt;OFFSET(Scenarios!$A$67,0,$C$1),MIN(V$52/V$244+OFFSET(Scenarios!$A$63,0,$C$1),OFFSET(Scenarios!$A$67,0,$C$1)),MAX(V$52/V$244-OFFSET(Scenarios!$A$63,0,$C$1),OFFSET(Scenarios!$A$67,0,$C$1)))*W$244,V$52*(1+W$245))</f>
        <v>5.35488495577607</v>
      </c>
      <c r="X52" s="73">
        <f ca="1">IF(OFFSET(Scenarios!$A$58,0,$C$1)="Yes",IF(W$52/W$244&lt;OFFSET(Scenarios!$A$67,0,$C$1),MIN(W$52/W$244+OFFSET(Scenarios!$A$63,0,$C$1),OFFSET(Scenarios!$A$67,0,$C$1)),MAX(W$52/W$244-OFFSET(Scenarios!$A$63,0,$C$1),OFFSET(Scenarios!$A$67,0,$C$1)))*X$244,W$52*(1+X$245))</f>
        <v>5.5850837480344389</v>
      </c>
    </row>
    <row r="53" spans="1:24" x14ac:dyDescent="0.2">
      <c r="A53" s="157" t="s">
        <v>242</v>
      </c>
      <c r="B53" s="228"/>
      <c r="C53" s="69"/>
      <c r="D53" s="173">
        <f>SUM(Data!C$125:C$127,Data!C$129,Data!C$132)</f>
        <v>8.59</v>
      </c>
      <c r="E53" s="173">
        <f>SUM(Data!D$125:D$127,Data!D$129,Data!D$132)</f>
        <v>9.3659999999999997</v>
      </c>
      <c r="F53" s="173">
        <f>SUM(Data!E$125:E$127,Data!E$129,Data!E$132)</f>
        <v>8.3970000000000002</v>
      </c>
      <c r="G53" s="173">
        <f>SUM(Data!F$125:F$127,Data!F$129,Data!F$132)</f>
        <v>6.9480000000000004</v>
      </c>
      <c r="H53" s="173">
        <f>SUM(Data!G$125:G$127,Data!G$129,Data!G$132)</f>
        <v>6.9710000000000001</v>
      </c>
      <c r="I53" s="173">
        <f>SUM(Data!H$125:H$127,Data!H$129,Data!H$132)</f>
        <v>7.5460000000000003</v>
      </c>
      <c r="J53" s="127">
        <f ca="1">SUM(Data!I$125:I$127,Data!I$129,Data!I$132)*IF($F$1="Yes",OFFSET('Forecast Adjuster'!$A$65,0,J$289),1) + IF($I$1="Yes",J$295,0)</f>
        <v>8.6950000000000003</v>
      </c>
      <c r="K53" s="127">
        <f ca="1">SUM(Data!J$125:J$127,Data!J$129,Data!J$132)*IF($F$1="Yes",OFFSET('Forecast Adjuster'!$A$65,0,K$289),1) + IF($I$1="Yes",K$295,0)</f>
        <v>9.1080000000000005</v>
      </c>
      <c r="L53" s="127">
        <f ca="1">SUM(Data!K$125:K$127,Data!K$129,Data!K$132)*IF($F$1="Yes",OFFSET('Forecast Adjuster'!$A$65,0,L$289),1) + IF($I$1="Yes",L$295,0)</f>
        <v>9.766</v>
      </c>
      <c r="M53" s="127">
        <f ca="1">SUM(Data!L$125:L$127,Data!L$129,Data!L$132)*IF($F$1="Yes",OFFSET('Forecast Adjuster'!$A$65,0,M$289),1) + IF($I$1="Yes",M$295,0)</f>
        <v>10.535</v>
      </c>
      <c r="N53" s="127">
        <f ca="1">SUM(Data!M$125:M$127,Data!M$129,Data!M$132)*IF($F$1="Yes",OFFSET('Forecast Adjuster'!$A$65,0,N$289),1) + IF($I$1="Yes",N$295,0)</f>
        <v>11.132999999999999</v>
      </c>
      <c r="O53" s="81">
        <f ca="1">IF(OFFSET(Scenarios!$A$59,0,$C$1)="Yes",IF(N$53/N$244&lt;OFFSET(Scenarios!$A$68,0,$C$1),MIN(N$53/N$244+OFFSET(Scenarios!$A$63,0,$C$1),OFFSET(Scenarios!$A$68,0,$C$1)),MAX(N$53/N$244-OFFSET(Scenarios!$A$63,0,$C$1),OFFSET(Scenarios!$A$68,0,$C$1)))*O$244,N$53*(1+O$245))</f>
        <v>11.55672908744188</v>
      </c>
      <c r="P53" s="81">
        <f ca="1">IF(OFFSET(Scenarios!$A$59,0,$C$1)="Yes",IF(O$53/O$244&lt;OFFSET(Scenarios!$A$68,0,$C$1),MIN(O$53/O$244+OFFSET(Scenarios!$A$63,0,$C$1),OFFSET(Scenarios!$A$68,0,$C$1)),MAX(O$53/O$244-OFFSET(Scenarios!$A$63,0,$C$1),OFFSET(Scenarios!$A$68,0,$C$1)))*P$244,O$53*(1+P$245))</f>
        <v>12.076672727426105</v>
      </c>
      <c r="Q53" s="81">
        <f ca="1">IF(OFFSET(Scenarios!$A$59,0,$C$1)="Yes",IF(P$53/P$244&lt;OFFSET(Scenarios!$A$68,0,$C$1),MIN(P$53/P$244+OFFSET(Scenarios!$A$63,0,$C$1),OFFSET(Scenarios!$A$68,0,$C$1)),MAX(P$53/P$244-OFFSET(Scenarios!$A$63,0,$C$1),OFFSET(Scenarios!$A$68,0,$C$1)))*Q$244,P$53*(1+Q$245))</f>
        <v>12.633930334232296</v>
      </c>
      <c r="R53" s="81">
        <f ca="1">IF(OFFSET(Scenarios!$A$59,0,$C$1)="Yes",IF(Q$53/Q$244&lt;OFFSET(Scenarios!$A$68,0,$C$1),MIN(Q$53/Q$244+OFFSET(Scenarios!$A$63,0,$C$1),OFFSET(Scenarios!$A$68,0,$C$1)),MAX(Q$53/Q$244-OFFSET(Scenarios!$A$63,0,$C$1),OFFSET(Scenarios!$A$68,0,$C$1)))*R$244,Q$53*(1+R$245))</f>
        <v>13.218451763277603</v>
      </c>
      <c r="S53" s="81">
        <f ca="1">IF(OFFSET(Scenarios!$A$59,0,$C$1)="Yes",IF(R$53/R$244&lt;OFFSET(Scenarios!$A$68,0,$C$1),MIN(R$53/R$244+OFFSET(Scenarios!$A$63,0,$C$1),OFFSET(Scenarios!$A$68,0,$C$1)),MAX(R$53/R$244-OFFSET(Scenarios!$A$63,0,$C$1),OFFSET(Scenarios!$A$68,0,$C$1)))*S$244,R$53*(1+S$245))</f>
        <v>13.82630738760721</v>
      </c>
      <c r="T53" s="81">
        <f ca="1">IF(OFFSET(Scenarios!$A$59,0,$C$1)="Yes",IF(S$53/S$244&lt;OFFSET(Scenarios!$A$68,0,$C$1),MIN(S$53/S$244+OFFSET(Scenarios!$A$63,0,$C$1),OFFSET(Scenarios!$A$68,0,$C$1)),MAX(S$53/S$244-OFFSET(Scenarios!$A$63,0,$C$1),OFFSET(Scenarios!$A$68,0,$C$1)))*T$244,S$53*(1+T$245))</f>
        <v>14.450555104719303</v>
      </c>
      <c r="U53" s="81">
        <f ca="1">IF(OFFSET(Scenarios!$A$59,0,$C$1)="Yes",IF(T$53/T$244&lt;OFFSET(Scenarios!$A$68,0,$C$1),MIN(T$53/T$244+OFFSET(Scenarios!$A$63,0,$C$1),OFFSET(Scenarios!$A$68,0,$C$1)),MAX(T$53/T$244-OFFSET(Scenarios!$A$63,0,$C$1),OFFSET(Scenarios!$A$68,0,$C$1)))*U$244,T$53*(1+U$245))</f>
        <v>15.092646280771142</v>
      </c>
      <c r="V53" s="81">
        <f ca="1">IF(OFFSET(Scenarios!$A$59,0,$C$1)="Yes",IF(U$53/U$244&lt;OFFSET(Scenarios!$A$68,0,$C$1),MIN(U$53/U$244+OFFSET(Scenarios!$A$63,0,$C$1),OFFSET(Scenarios!$A$68,0,$C$1)),MAX(U$53/U$244-OFFSET(Scenarios!$A$63,0,$C$1),OFFSET(Scenarios!$A$68,0,$C$1)))*V$244,U$53*(1+V$245))</f>
        <v>15.759501361732523</v>
      </c>
      <c r="W53" s="81">
        <f ca="1">IF(OFFSET(Scenarios!$A$59,0,$C$1)="Yes",IF(V$53/V$244&lt;OFFSET(Scenarios!$A$68,0,$C$1),MIN(V$53/V$244+OFFSET(Scenarios!$A$63,0,$C$1),OFFSET(Scenarios!$A$68,0,$C$1)),MAX(V$53/V$244-OFFSET(Scenarios!$A$63,0,$C$1),OFFSET(Scenarios!$A$68,0,$C$1)))*W$244,V$53*(1+W$245))</f>
        <v>16.447146649883642</v>
      </c>
      <c r="X53" s="81">
        <f ca="1">IF(OFFSET(Scenarios!$A$59,0,$C$1)="Yes",IF(W$53/W$244&lt;OFFSET(Scenarios!$A$68,0,$C$1),MIN(W$53/W$244+OFFSET(Scenarios!$A$63,0,$C$1),OFFSET(Scenarios!$A$68,0,$C$1)),MAX(W$53/W$244-OFFSET(Scenarios!$A$63,0,$C$1),OFFSET(Scenarios!$A$68,0,$C$1)))*X$244,W$53*(1+X$245))</f>
        <v>17.154185797534346</v>
      </c>
    </row>
    <row r="54" spans="1:24" x14ac:dyDescent="0.2">
      <c r="A54" s="27" t="s">
        <v>243</v>
      </c>
      <c r="C54" s="69"/>
      <c r="D54" s="71">
        <f t="shared" ref="D54:X54" si="24">SUM(D$49:D$53)</f>
        <v>53.063999999999993</v>
      </c>
      <c r="E54" s="71">
        <f t="shared" si="24"/>
        <v>56.372</v>
      </c>
      <c r="F54" s="71">
        <f t="shared" si="24"/>
        <v>54.145000000000003</v>
      </c>
      <c r="G54" s="71">
        <f t="shared" si="24"/>
        <v>50.347000000000001</v>
      </c>
      <c r="H54" s="71">
        <f t="shared" si="24"/>
        <v>51.128</v>
      </c>
      <c r="I54" s="71">
        <f t="shared" si="24"/>
        <v>54.664999999999992</v>
      </c>
      <c r="J54" s="128">
        <f t="shared" ca="1" si="24"/>
        <v>57.838999999999999</v>
      </c>
      <c r="K54" s="128">
        <f t="shared" ca="1" si="24"/>
        <v>61.772999999999996</v>
      </c>
      <c r="L54" s="128">
        <f t="shared" ca="1" si="24"/>
        <v>65.393999999999991</v>
      </c>
      <c r="M54" s="128">
        <f t="shared" ca="1" si="24"/>
        <v>68.903000000000006</v>
      </c>
      <c r="N54" s="128">
        <f t="shared" ca="1" si="24"/>
        <v>71.981999999999999</v>
      </c>
      <c r="O54" s="75">
        <f t="shared" ca="1" si="24"/>
        <v>76.059647517807136</v>
      </c>
      <c r="P54" s="75">
        <f t="shared" ca="1" si="24"/>
        <v>79.928880603791214</v>
      </c>
      <c r="Q54" s="75">
        <f t="shared" ca="1" si="24"/>
        <v>84.025369057493293</v>
      </c>
      <c r="R54" s="75">
        <f t="shared" ca="1" si="24"/>
        <v>88.225480373504013</v>
      </c>
      <c r="S54" s="75">
        <f t="shared" ca="1" si="24"/>
        <v>92.282563261471381</v>
      </c>
      <c r="T54" s="75">
        <f t="shared" ca="1" si="24"/>
        <v>96.449053838475351</v>
      </c>
      <c r="U54" s="75">
        <f t="shared" ca="1" si="24"/>
        <v>100.7346391297981</v>
      </c>
      <c r="V54" s="75">
        <f t="shared" ca="1" si="24"/>
        <v>105.18550908877289</v>
      </c>
      <c r="W54" s="75">
        <f t="shared" ca="1" si="24"/>
        <v>109.77514159340944</v>
      </c>
      <c r="X54" s="75">
        <f t="shared" ca="1" si="24"/>
        <v>114.49421683470598</v>
      </c>
    </row>
    <row r="55" spans="1:24" x14ac:dyDescent="0.2">
      <c r="A55" s="158" t="s">
        <v>511</v>
      </c>
      <c r="C55" s="69"/>
      <c r="D55" s="173">
        <f t="shared" ref="D55:N55" si="25">D$56-D$54</f>
        <v>0.41300000000000381</v>
      </c>
      <c r="E55" s="173">
        <f t="shared" si="25"/>
        <v>0.375</v>
      </c>
      <c r="F55" s="173">
        <f t="shared" si="25"/>
        <v>0.53599999999999426</v>
      </c>
      <c r="G55" s="173">
        <f t="shared" si="25"/>
        <v>0.39699999999999847</v>
      </c>
      <c r="H55" s="173">
        <f t="shared" si="25"/>
        <v>0.42900000000000205</v>
      </c>
      <c r="I55" s="173">
        <f t="shared" si="25"/>
        <v>0.41600000000001103</v>
      </c>
      <c r="J55" s="127">
        <f t="shared" ca="1" si="25"/>
        <v>0.44700000000000273</v>
      </c>
      <c r="K55" s="127">
        <f t="shared" ca="1" si="25"/>
        <v>0.61000000000000654</v>
      </c>
      <c r="L55" s="127">
        <f t="shared" ca="1" si="25"/>
        <v>0.68600000000000705</v>
      </c>
      <c r="M55" s="127">
        <f t="shared" ca="1" si="25"/>
        <v>0.77599999999999625</v>
      </c>
      <c r="N55" s="127">
        <f t="shared" ca="1" si="25"/>
        <v>0.83799999999999386</v>
      </c>
      <c r="O55" s="81">
        <f t="shared" ref="O55:X55" ca="1" si="26">N$55*(1+O$245)</f>
        <v>0.87560342212018083</v>
      </c>
      <c r="P55" s="81">
        <f t="shared" ca="1" si="26"/>
        <v>0.91499730485595632</v>
      </c>
      <c r="Q55" s="81">
        <f t="shared" ca="1" si="26"/>
        <v>0.95721830561059196</v>
      </c>
      <c r="R55" s="81">
        <f t="shared" ca="1" si="26"/>
        <v>1.0015049683593802</v>
      </c>
      <c r="S55" s="81">
        <f t="shared" ca="1" si="26"/>
        <v>1.0475595622493037</v>
      </c>
      <c r="T55" s="81">
        <f t="shared" ca="1" si="26"/>
        <v>1.0948561141731534</v>
      </c>
      <c r="U55" s="81">
        <f t="shared" ca="1" si="26"/>
        <v>1.143504587872783</v>
      </c>
      <c r="V55" s="81">
        <f t="shared" ca="1" si="26"/>
        <v>1.1940293156335566</v>
      </c>
      <c r="W55" s="81">
        <f t="shared" ca="1" si="26"/>
        <v>1.2461292275510398</v>
      </c>
      <c r="X55" s="81">
        <f t="shared" ca="1" si="26"/>
        <v>1.2996985283948765</v>
      </c>
    </row>
    <row r="56" spans="1:24" x14ac:dyDescent="0.2">
      <c r="A56" s="27" t="s">
        <v>333</v>
      </c>
      <c r="B56" s="228"/>
      <c r="C56" s="69"/>
      <c r="D56" s="71">
        <f>Data!C$100</f>
        <v>53.476999999999997</v>
      </c>
      <c r="E56" s="71">
        <f>Data!D$100</f>
        <v>56.747</v>
      </c>
      <c r="F56" s="71">
        <f>Data!E$100</f>
        <v>54.680999999999997</v>
      </c>
      <c r="G56" s="71">
        <f>Data!F$100</f>
        <v>50.744</v>
      </c>
      <c r="H56" s="71">
        <f>Data!G$100</f>
        <v>51.557000000000002</v>
      </c>
      <c r="I56" s="71">
        <f>Data!H$100</f>
        <v>55.081000000000003</v>
      </c>
      <c r="J56" s="128">
        <f ca="1">Data!I$100 + IF($F$1="Yes",SUM(Data!I$124:I$132)*(OFFSET('Forecast Adjuster'!$A$65,0,J$289)-1),0) + IF($I$1="Yes",SUM(J$291:J$295),0)</f>
        <v>58.286000000000001</v>
      </c>
      <c r="K56" s="128">
        <f ca="1">Data!J$100 + IF($F$1="Yes",SUM(Data!J$124:J$132)*(OFFSET('Forecast Adjuster'!$A$65,0,K$289)-1),0) + IF($I$1="Yes",SUM(K$291:K$295),0)</f>
        <v>62.383000000000003</v>
      </c>
      <c r="L56" s="128">
        <f ca="1">Data!K$100 + IF($F$1="Yes",SUM(Data!K$124:K$132)*(OFFSET('Forecast Adjuster'!$A$65,0,L$289)-1),0) + IF($I$1="Yes",SUM(L$291:L$295),0)</f>
        <v>66.08</v>
      </c>
      <c r="M56" s="128">
        <f ca="1">Data!L$100 + IF($F$1="Yes",SUM(Data!L$124:L$132)*(OFFSET('Forecast Adjuster'!$A$65,0,M$289)-1),0) + IF($I$1="Yes",SUM(M$291:M$295),0)</f>
        <v>69.679000000000002</v>
      </c>
      <c r="N56" s="128">
        <f ca="1">Data!M$100 + IF($F$1="Yes",SUM(Data!M$124:M$132)*(OFFSET('Forecast Adjuster'!$A$65,0,N$289)-1),0) + IF($I$1="Yes",SUM(N$291:N$295),0)</f>
        <v>72.819999999999993</v>
      </c>
      <c r="O56" s="75">
        <f t="shared" ref="O56:X56" ca="1" si="27">SUM(O$54,O$55)</f>
        <v>76.935250939927315</v>
      </c>
      <c r="P56" s="75">
        <f t="shared" ca="1" si="27"/>
        <v>80.843877908647173</v>
      </c>
      <c r="Q56" s="75">
        <f t="shared" ca="1" si="27"/>
        <v>84.982587363103889</v>
      </c>
      <c r="R56" s="75">
        <f t="shared" ca="1" si="27"/>
        <v>89.226985341863397</v>
      </c>
      <c r="S56" s="75">
        <f t="shared" ca="1" si="27"/>
        <v>93.330122823720686</v>
      </c>
      <c r="T56" s="75">
        <f t="shared" ca="1" si="27"/>
        <v>97.543909952648505</v>
      </c>
      <c r="U56" s="75">
        <f t="shared" ca="1" si="27"/>
        <v>101.87814371767088</v>
      </c>
      <c r="V56" s="75">
        <f t="shared" ca="1" si="27"/>
        <v>106.37953840440645</v>
      </c>
      <c r="W56" s="75">
        <f t="shared" ca="1" si="27"/>
        <v>111.02127082096048</v>
      </c>
      <c r="X56" s="75">
        <f t="shared" ca="1" si="27"/>
        <v>115.79391536310085</v>
      </c>
    </row>
    <row r="57" spans="1:24" x14ac:dyDescent="0.2">
      <c r="A57" s="2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x14ac:dyDescent="0.2">
      <c r="A58" s="106" t="s">
        <v>512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x14ac:dyDescent="0.2">
      <c r="A59" s="157" t="s">
        <v>645</v>
      </c>
      <c r="C59" s="69"/>
      <c r="D59" s="69">
        <f>D$217</f>
        <v>0</v>
      </c>
      <c r="E59" s="69">
        <f t="shared" ref="E59:X59" si="28">E$217</f>
        <v>0</v>
      </c>
      <c r="F59" s="69">
        <f t="shared" si="28"/>
        <v>0</v>
      </c>
      <c r="G59" s="69">
        <f t="shared" si="28"/>
        <v>2.3E-2</v>
      </c>
      <c r="H59" s="69">
        <f t="shared" si="28"/>
        <v>0.32200000000000001</v>
      </c>
      <c r="I59" s="69">
        <f t="shared" si="28"/>
        <v>0.57099999999999995</v>
      </c>
      <c r="J59" s="123">
        <f t="shared" si="28"/>
        <v>0.38200000000000001</v>
      </c>
      <c r="K59" s="123">
        <f t="shared" si="28"/>
        <v>5.0000000000000001E-3</v>
      </c>
      <c r="L59" s="123">
        <f t="shared" si="28"/>
        <v>5.0000000000000001E-3</v>
      </c>
      <c r="M59" s="123">
        <f t="shared" si="28"/>
        <v>5.0000000000000001E-3</v>
      </c>
      <c r="N59" s="123">
        <f t="shared" si="28"/>
        <v>5.0000000000000001E-3</v>
      </c>
      <c r="O59" s="73">
        <f t="shared" ca="1" si="28"/>
        <v>5.1019104716227013E-3</v>
      </c>
      <c r="P59" s="73">
        <f t="shared" ca="1" si="28"/>
        <v>5.2039486810551558E-3</v>
      </c>
      <c r="Q59" s="73">
        <f t="shared" ca="1" si="28"/>
        <v>5.3080276546762593E-3</v>
      </c>
      <c r="R59" s="73">
        <f t="shared" ca="1" si="28"/>
        <v>5.4141882077697844E-3</v>
      </c>
      <c r="S59" s="73">
        <f t="shared" ca="1" si="28"/>
        <v>5.5224719719251802E-3</v>
      </c>
      <c r="T59" s="73">
        <f t="shared" ca="1" si="28"/>
        <v>5.6329214113636844E-3</v>
      </c>
      <c r="U59" s="73">
        <f t="shared" ca="1" si="28"/>
        <v>5.7455798395909582E-3</v>
      </c>
      <c r="V59" s="73">
        <f t="shared" ca="1" si="28"/>
        <v>5.8604914363827778E-3</v>
      </c>
      <c r="W59" s="73">
        <f t="shared" ca="1" si="28"/>
        <v>5.9777012651104338E-3</v>
      </c>
      <c r="X59" s="73">
        <f t="shared" ca="1" si="28"/>
        <v>6.0972552904126429E-3</v>
      </c>
    </row>
    <row r="60" spans="1:24" x14ac:dyDescent="0.2">
      <c r="A60" s="157" t="s">
        <v>646</v>
      </c>
      <c r="B60" s="228"/>
      <c r="C60" s="69"/>
      <c r="D60" s="173">
        <f>SUM(Data!C$101,Data!C$102,Data!C$104)-D$59</f>
        <v>2.1539999999999999</v>
      </c>
      <c r="E60" s="173">
        <f>SUM(Data!D$101,Data!D$102,Data!D$104)-E$59</f>
        <v>2.7280000000000002</v>
      </c>
      <c r="F60" s="173">
        <f>SUM(Data!E$101,Data!E$102,Data!E$104)-F$59</f>
        <v>2.9289999999999998</v>
      </c>
      <c r="G60" s="173">
        <f>SUM(Data!F$101,Data!F$102,Data!F$104)-G$59</f>
        <v>3.3140000000000001</v>
      </c>
      <c r="H60" s="173">
        <f>SUM(Data!G$101,Data!G$102,Data!G$104)-H$59</f>
        <v>3.5019999999999998</v>
      </c>
      <c r="I60" s="173">
        <f>SUM(Data!H$101,Data!H$102,Data!H$104)-I$59</f>
        <v>3.1180000000000003</v>
      </c>
      <c r="J60" s="127">
        <f ca="1">SUM(Data!I$101,Data!I$102,Data!I$104)*IF($F$1="Yes",OFFSET('Forecast Adjuster'!$A$67,0,J$289),1)-J$59</f>
        <v>2.9449999999999998</v>
      </c>
      <c r="K60" s="127">
        <f ca="1">SUM(Data!J$101,Data!J$102,Data!J$104)*IF($F$1="Yes",OFFSET('Forecast Adjuster'!$A$67,0,K$289),1)-K$59</f>
        <v>3.3550000000000004</v>
      </c>
      <c r="L60" s="127">
        <f ca="1">SUM(Data!K$101,Data!K$102,Data!K$104)*IF($F$1="Yes",OFFSET('Forecast Adjuster'!$A$67,0,L$289),1)-L$59</f>
        <v>3.286</v>
      </c>
      <c r="M60" s="127">
        <f ca="1">SUM(Data!L$101,Data!L$102,Data!L$104)*IF($F$1="Yes",OFFSET('Forecast Adjuster'!$A$67,0,M$289),1)-M$59</f>
        <v>3.1160000000000001</v>
      </c>
      <c r="N60" s="127">
        <f ca="1">SUM(Data!M$101,Data!M$102,Data!M$104)*IF($F$1="Yes",OFFSET('Forecast Adjuster'!$A$67,0,N$289),1)-N$59</f>
        <v>3.1590000000000003</v>
      </c>
      <c r="O60" s="81">
        <f ca="1">(N$60-0.253)*(1+O$247)</f>
        <v>2.9652303661071144</v>
      </c>
      <c r="P60" s="81">
        <f t="shared" ref="P60:X60" ca="1" si="29">O$60*(1+P$247)</f>
        <v>3.0245349734292568</v>
      </c>
      <c r="Q60" s="81">
        <f t="shared" ca="1" si="29"/>
        <v>3.0850256728978418</v>
      </c>
      <c r="R60" s="81">
        <f t="shared" ca="1" si="29"/>
        <v>3.1467261863557985</v>
      </c>
      <c r="S60" s="81">
        <f t="shared" ca="1" si="29"/>
        <v>3.2096607100829146</v>
      </c>
      <c r="T60" s="81">
        <f t="shared" ca="1" si="29"/>
        <v>3.2738539242845728</v>
      </c>
      <c r="U60" s="81">
        <f t="shared" ca="1" si="29"/>
        <v>3.3393310027702645</v>
      </c>
      <c r="V60" s="81">
        <f t="shared" ca="1" si="29"/>
        <v>3.4061176228256698</v>
      </c>
      <c r="W60" s="81">
        <f t="shared" ca="1" si="29"/>
        <v>3.4742399752821833</v>
      </c>
      <c r="X60" s="81">
        <f t="shared" ca="1" si="29"/>
        <v>3.5437247747878269</v>
      </c>
    </row>
    <row r="61" spans="1:24" x14ac:dyDescent="0.2">
      <c r="A61" s="27" t="s">
        <v>514</v>
      </c>
      <c r="C61" s="69"/>
      <c r="D61" s="71">
        <f>SUM(D$59:D$60)</f>
        <v>2.1539999999999999</v>
      </c>
      <c r="E61" s="71">
        <f t="shared" ref="E61:X61" si="30">SUM(E$59:E$60)</f>
        <v>2.7280000000000002</v>
      </c>
      <c r="F61" s="71">
        <f t="shared" si="30"/>
        <v>2.9289999999999998</v>
      </c>
      <c r="G61" s="71">
        <f t="shared" si="30"/>
        <v>3.3370000000000002</v>
      </c>
      <c r="H61" s="71">
        <f t="shared" si="30"/>
        <v>3.8239999999999998</v>
      </c>
      <c r="I61" s="71">
        <f t="shared" si="30"/>
        <v>3.6890000000000001</v>
      </c>
      <c r="J61" s="128">
        <f t="shared" ca="1" si="30"/>
        <v>3.327</v>
      </c>
      <c r="K61" s="128">
        <f t="shared" ca="1" si="30"/>
        <v>3.3600000000000003</v>
      </c>
      <c r="L61" s="128">
        <f t="shared" ca="1" si="30"/>
        <v>3.2909999999999999</v>
      </c>
      <c r="M61" s="128">
        <f t="shared" ca="1" si="30"/>
        <v>3.121</v>
      </c>
      <c r="N61" s="128">
        <f t="shared" ca="1" si="30"/>
        <v>3.1640000000000001</v>
      </c>
      <c r="O61" s="75">
        <f t="shared" ca="1" si="30"/>
        <v>2.9703322765787372</v>
      </c>
      <c r="P61" s="75">
        <f t="shared" ca="1" si="30"/>
        <v>3.0297389221103121</v>
      </c>
      <c r="Q61" s="75">
        <f t="shared" ca="1" si="30"/>
        <v>3.090333700552518</v>
      </c>
      <c r="R61" s="75">
        <f t="shared" ca="1" si="30"/>
        <v>3.1521403745635683</v>
      </c>
      <c r="S61" s="75">
        <f t="shared" ca="1" si="30"/>
        <v>3.2151831820548398</v>
      </c>
      <c r="T61" s="75">
        <f t="shared" ca="1" si="30"/>
        <v>3.2794868456959363</v>
      </c>
      <c r="U61" s="75">
        <f t="shared" ca="1" si="30"/>
        <v>3.3450765826098556</v>
      </c>
      <c r="V61" s="75">
        <f t="shared" ca="1" si="30"/>
        <v>3.4119781142620527</v>
      </c>
      <c r="W61" s="75">
        <f t="shared" ca="1" si="30"/>
        <v>3.4802176765472939</v>
      </c>
      <c r="X61" s="75">
        <f t="shared" ca="1" si="30"/>
        <v>3.5498220300782397</v>
      </c>
    </row>
    <row r="62" spans="1:24" x14ac:dyDescent="0.2">
      <c r="A62" s="27" t="s">
        <v>513</v>
      </c>
      <c r="B62" s="228"/>
      <c r="C62" s="69"/>
      <c r="D62" s="71">
        <f>SUM(Data!C$6,Data!C$7,Data!C$9)</f>
        <v>18.529999999999998</v>
      </c>
      <c r="E62" s="71">
        <f>SUM(Data!D$6,Data!D$7,Data!D$9)</f>
        <v>21.893000000000001</v>
      </c>
      <c r="F62" s="71">
        <f>SUM(Data!E$6,Data!E$7,Data!E$9)</f>
        <v>22.364000000000001</v>
      </c>
      <c r="G62" s="71">
        <f>SUM(Data!F$6,Data!F$7,Data!F$9)</f>
        <v>22.062999999999999</v>
      </c>
      <c r="H62" s="71">
        <f>SUM(Data!G$6,Data!G$7,Data!G$9)</f>
        <v>27.864999999999998</v>
      </c>
      <c r="I62" s="71">
        <f>SUM(Data!H$6,Data!H$7,Data!H$9)</f>
        <v>26.055</v>
      </c>
      <c r="J62" s="128">
        <f ca="1">SUM(Data!I$6,Data!I$7,Data!I$9) + IF($F$1="Yes",SUM(Data!I$101,Data!I$102,Data!I$104)*(OFFSET('Forecast Adjuster'!$A$67,0,J$289)-1),0) + IF($I$1="Yes",J$297,0)</f>
        <v>25.573</v>
      </c>
      <c r="K62" s="128">
        <f ca="1">SUM(Data!J$6,Data!J$7,Data!J$9) + IF($F$1="Yes",SUM(Data!J$101,Data!J$102,Data!J$104)*(OFFSET('Forecast Adjuster'!$A$67,0,K$289)-1),0) + IF($I$1="Yes",K$297,0)</f>
        <v>26.242999999999999</v>
      </c>
      <c r="L62" s="128">
        <f ca="1">SUM(Data!K$6,Data!K$7,Data!K$9) + IF($F$1="Yes",SUM(Data!K$101,Data!K$102,Data!K$104)*(OFFSET('Forecast Adjuster'!$A$67,0,L$289)-1),0) + IF($I$1="Yes",L$297,0)</f>
        <v>26.780999999999999</v>
      </c>
      <c r="M62" s="128">
        <f ca="1">SUM(Data!L$6,Data!L$7,Data!L$9) + IF($F$1="Yes",SUM(Data!L$101,Data!L$102,Data!L$104)*(OFFSET('Forecast Adjuster'!$A$67,0,M$289)-1),0) + IF($I$1="Yes",M$297,0)</f>
        <v>26.730999999999995</v>
      </c>
      <c r="N62" s="128">
        <f ca="1">SUM(Data!M$6,Data!M$7,Data!M$9) + IF($F$1="Yes",SUM(Data!M$101,Data!M$102,Data!M$104)*(OFFSET('Forecast Adjuster'!$A$67,0,N$289)-1),0) + IF($I$1="Yes",N$297,0)</f>
        <v>27.448</v>
      </c>
      <c r="O62" s="75">
        <f t="shared" ref="O62:X62" ca="1" si="31">SUM(O$61,(N$62-N$61)*(1+O$245))</f>
        <v>28.344023807326504</v>
      </c>
      <c r="P62" s="75">
        <f t="shared" ca="1" si="31"/>
        <v>29.545006882876667</v>
      </c>
      <c r="Q62" s="75">
        <f t="shared" ca="1" si="31"/>
        <v>30.829103788199038</v>
      </c>
      <c r="R62" s="75">
        <f t="shared" ca="1" si="31"/>
        <v>32.174272417092645</v>
      </c>
      <c r="S62" s="75">
        <f t="shared" ca="1" si="31"/>
        <v>33.57190920790481</v>
      </c>
      <c r="T62" s="75">
        <f t="shared" ca="1" si="31"/>
        <v>35.006796960947788</v>
      </c>
      <c r="U62" s="75">
        <f t="shared" ca="1" si="31"/>
        <v>36.482147479868651</v>
      </c>
      <c r="V62" s="75">
        <f t="shared" ca="1" si="31"/>
        <v>38.013180859901084</v>
      </c>
      <c r="W62" s="75">
        <f t="shared" ca="1" si="31"/>
        <v>39.591198776606568</v>
      </c>
      <c r="X62" s="75">
        <f t="shared" ca="1" si="31"/>
        <v>41.213162201368711</v>
      </c>
    </row>
    <row r="63" spans="1:24" x14ac:dyDescent="0.2">
      <c r="A63" s="31"/>
      <c r="C63" s="69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">
      <c r="A64" s="106" t="s">
        <v>515</v>
      </c>
      <c r="C64" s="69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 s="31" t="s">
        <v>387</v>
      </c>
      <c r="B65" s="77"/>
      <c r="C65" s="69"/>
      <c r="D65" s="69">
        <f t="shared" ref="D65:X65" si="32">D$171</f>
        <v>0.436</v>
      </c>
      <c r="E65" s="69">
        <f t="shared" si="32"/>
        <v>0.38500000000000001</v>
      </c>
      <c r="F65" s="69">
        <f t="shared" si="32"/>
        <v>0.38300000000000001</v>
      </c>
      <c r="G65" s="69">
        <f t="shared" si="32"/>
        <v>0.433</v>
      </c>
      <c r="H65" s="69">
        <f t="shared" si="32"/>
        <v>0.51800000000000002</v>
      </c>
      <c r="I65" s="69">
        <f t="shared" si="32"/>
        <v>0.53900000000000003</v>
      </c>
      <c r="J65" s="103">
        <f t="shared" si="32"/>
        <v>0.64700000000000002</v>
      </c>
      <c r="K65" s="103">
        <f t="shared" si="32"/>
        <v>0.77700000000000002</v>
      </c>
      <c r="L65" s="103">
        <f t="shared" si="32"/>
        <v>0.80500000000000005</v>
      </c>
      <c r="M65" s="103">
        <f t="shared" si="32"/>
        <v>0.86</v>
      </c>
      <c r="N65" s="103">
        <f t="shared" si="32"/>
        <v>0.91800000000000004</v>
      </c>
      <c r="O65" s="73">
        <f t="shared" si="32"/>
        <v>0.79525208886168919</v>
      </c>
      <c r="P65" s="73">
        <f t="shared" si="32"/>
        <v>0.85246773981511936</v>
      </c>
      <c r="Q65" s="73">
        <f t="shared" si="32"/>
        <v>0.91430962725805276</v>
      </c>
      <c r="R65" s="73">
        <f t="shared" si="32"/>
        <v>1.0180549372569283</v>
      </c>
      <c r="S65" s="73">
        <f t="shared" si="32"/>
        <v>1.1652201900625911</v>
      </c>
      <c r="T65" s="73">
        <f t="shared" si="32"/>
        <v>1.3080860183242249</v>
      </c>
      <c r="U65" s="73">
        <f t="shared" si="32"/>
        <v>1.454753964758311</v>
      </c>
      <c r="V65" s="73">
        <f t="shared" si="32"/>
        <v>1.6043036666444859</v>
      </c>
      <c r="W65" s="73">
        <f t="shared" si="32"/>
        <v>1.7558109344051176</v>
      </c>
      <c r="X65" s="73">
        <f t="shared" si="32"/>
        <v>1.9080211687307396</v>
      </c>
    </row>
    <row r="66" spans="1:24" x14ac:dyDescent="0.2">
      <c r="A66" s="31" t="s">
        <v>388</v>
      </c>
      <c r="B66" s="77"/>
      <c r="C66" s="69"/>
      <c r="D66" s="69">
        <f>D$193</f>
        <v>0.36</v>
      </c>
      <c r="E66" s="69">
        <f t="shared" ref="E66:X66" si="33">E$193</f>
        <v>0.40699999999999997</v>
      </c>
      <c r="F66" s="69">
        <f t="shared" si="33"/>
        <v>0.46500000000000002</v>
      </c>
      <c r="G66" s="69">
        <f t="shared" si="33"/>
        <v>0.46300000000000002</v>
      </c>
      <c r="H66" s="69">
        <f t="shared" si="33"/>
        <v>0.48399999999999999</v>
      </c>
      <c r="I66" s="69">
        <f t="shared" si="33"/>
        <v>0.52600000000000002</v>
      </c>
      <c r="J66" s="103">
        <f t="shared" si="33"/>
        <v>0.58099999999999996</v>
      </c>
      <c r="K66" s="103">
        <f t="shared" si="33"/>
        <v>0.6</v>
      </c>
      <c r="L66" s="103">
        <f t="shared" si="33"/>
        <v>0.63100000000000001</v>
      </c>
      <c r="M66" s="103">
        <f t="shared" si="33"/>
        <v>0.66300000000000003</v>
      </c>
      <c r="N66" s="103">
        <f t="shared" si="33"/>
        <v>0.69499999999999995</v>
      </c>
      <c r="O66" s="73">
        <f t="shared" si="33"/>
        <v>0.71199999999999997</v>
      </c>
      <c r="P66" s="73">
        <f t="shared" si="33"/>
        <v>0.72799999999999998</v>
      </c>
      <c r="Q66" s="73">
        <f t="shared" si="33"/>
        <v>0.745</v>
      </c>
      <c r="R66" s="73">
        <f t="shared" si="33"/>
        <v>0.7629999999999999</v>
      </c>
      <c r="S66" s="73">
        <f t="shared" si="33"/>
        <v>0.78299999999999992</v>
      </c>
      <c r="T66" s="73">
        <f t="shared" si="33"/>
        <v>0.80399999999999994</v>
      </c>
      <c r="U66" s="73">
        <f t="shared" si="33"/>
        <v>0.82699999999999996</v>
      </c>
      <c r="V66" s="73">
        <f t="shared" si="33"/>
        <v>0.85099999999999998</v>
      </c>
      <c r="W66" s="73">
        <f t="shared" si="33"/>
        <v>0.87699999999999989</v>
      </c>
      <c r="X66" s="73">
        <f t="shared" si="33"/>
        <v>0.90499999999999992</v>
      </c>
    </row>
    <row r="67" spans="1:24" x14ac:dyDescent="0.2">
      <c r="A67" s="31" t="s">
        <v>1050</v>
      </c>
      <c r="B67" s="77"/>
      <c r="C67" s="69"/>
      <c r="D67" s="69">
        <f t="shared" ref="D67:N67" si="34">D$165*D$143</f>
        <v>0</v>
      </c>
      <c r="E67" s="69">
        <f t="shared" si="34"/>
        <v>0</v>
      </c>
      <c r="F67" s="69">
        <f t="shared" si="34"/>
        <v>0</v>
      </c>
      <c r="G67" s="69">
        <f t="shared" si="34"/>
        <v>0</v>
      </c>
      <c r="H67" s="69">
        <f t="shared" si="34"/>
        <v>0</v>
      </c>
      <c r="I67" s="69">
        <f t="shared" si="34"/>
        <v>0</v>
      </c>
      <c r="J67" s="103">
        <f t="shared" si="34"/>
        <v>0</v>
      </c>
      <c r="K67" s="103">
        <f t="shared" si="34"/>
        <v>0</v>
      </c>
      <c r="L67" s="103">
        <f t="shared" si="34"/>
        <v>0</v>
      </c>
      <c r="M67" s="103">
        <f t="shared" si="34"/>
        <v>0</v>
      </c>
      <c r="N67" s="103">
        <f t="shared" si="34"/>
        <v>0</v>
      </c>
      <c r="O67" s="73">
        <f ca="1">O$142-(N$237+(O$34-N$34-(O$36-N$36)-SUM(O$21,O$23,N$67)+SUM(O$20,N$142))/2)*O$143</f>
        <v>0</v>
      </c>
      <c r="P67" s="73">
        <f t="shared" ref="P67:X67" ca="1" si="35">P$142-(O$237+(P$34-O$34-(P$36-O$36)-SUM(P$21,P$23,O$67)+SUM(P$20,O$142))/2)*P$143</f>
        <v>0</v>
      </c>
      <c r="Q67" s="73">
        <f t="shared" ca="1" si="35"/>
        <v>0</v>
      </c>
      <c r="R67" s="73">
        <f t="shared" ca="1" si="35"/>
        <v>0</v>
      </c>
      <c r="S67" s="73">
        <f t="shared" ca="1" si="35"/>
        <v>0</v>
      </c>
      <c r="T67" s="73">
        <f t="shared" ca="1" si="35"/>
        <v>0</v>
      </c>
      <c r="U67" s="73">
        <f t="shared" ca="1" si="35"/>
        <v>0</v>
      </c>
      <c r="V67" s="73">
        <f t="shared" ca="1" si="35"/>
        <v>0</v>
      </c>
      <c r="W67" s="73">
        <f t="shared" ca="1" si="35"/>
        <v>0</v>
      </c>
      <c r="X67" s="73">
        <f t="shared" ca="1" si="35"/>
        <v>0</v>
      </c>
    </row>
    <row r="68" spans="1:24" x14ac:dyDescent="0.2">
      <c r="A68" s="31" t="s">
        <v>636</v>
      </c>
      <c r="B68" s="77"/>
      <c r="C68" s="69"/>
      <c r="D68" s="173">
        <f t="shared" ref="D68:N68" si="36">D$69-SUM(D$65:D$67)</f>
        <v>1.784</v>
      </c>
      <c r="E68" s="173">
        <f t="shared" si="36"/>
        <v>1.5519999999999998</v>
      </c>
      <c r="F68" s="173">
        <f t="shared" si="36"/>
        <v>1.024</v>
      </c>
      <c r="G68" s="173">
        <f t="shared" si="36"/>
        <v>1.2389999999999999</v>
      </c>
      <c r="H68" s="173">
        <f t="shared" si="36"/>
        <v>1.167</v>
      </c>
      <c r="I68" s="173">
        <f t="shared" si="36"/>
        <v>0.73</v>
      </c>
      <c r="J68" s="127">
        <f t="shared" ca="1" si="36"/>
        <v>0.96800000000000019</v>
      </c>
      <c r="K68" s="127">
        <f t="shared" ca="1" si="36"/>
        <v>1.2619999999999998</v>
      </c>
      <c r="L68" s="127">
        <f t="shared" ca="1" si="36"/>
        <v>1.472</v>
      </c>
      <c r="M68" s="127">
        <f t="shared" ca="1" si="36"/>
        <v>1.5219999999999998</v>
      </c>
      <c r="N68" s="127">
        <f t="shared" ca="1" si="36"/>
        <v>1.891</v>
      </c>
      <c r="O68" s="368">
        <f t="shared" ref="O68:V68" ca="1" si="37">N$68*SUM(O$157,O$158,O$160)/SUM(N$157,N$158,N$160)</f>
        <v>1.9295425403677056</v>
      </c>
      <c r="P68" s="368">
        <f t="shared" ca="1" si="37"/>
        <v>1.9681333911750596</v>
      </c>
      <c r="Q68" s="368">
        <f t="shared" ca="1" si="37"/>
        <v>2.0074960589985609</v>
      </c>
      <c r="R68" s="368">
        <f t="shared" ca="1" si="37"/>
        <v>2.0476459801785323</v>
      </c>
      <c r="S68" s="368">
        <f t="shared" ca="1" si="37"/>
        <v>2.0885988997821028</v>
      </c>
      <c r="T68" s="368">
        <f t="shared" ca="1" si="37"/>
        <v>2.1303708777777453</v>
      </c>
      <c r="U68" s="368">
        <f t="shared" ca="1" si="37"/>
        <v>2.1729782953333001</v>
      </c>
      <c r="V68" s="368">
        <f t="shared" ca="1" si="37"/>
        <v>2.216437861239966</v>
      </c>
      <c r="W68" s="368">
        <f ca="1">V$68*SUM(W$157,W$158,W$160)/SUM(V$157,V$158,V$160)</f>
        <v>2.260766618464765</v>
      </c>
      <c r="X68" s="368">
        <f ca="1">W$68*SUM(X$157,X$158,X$160)/SUM(W$157,W$158,W$160)</f>
        <v>2.3059819508340609</v>
      </c>
    </row>
    <row r="69" spans="1:24" x14ac:dyDescent="0.2">
      <c r="A69" s="27" t="s">
        <v>391</v>
      </c>
      <c r="B69" s="228"/>
      <c r="C69" s="69"/>
      <c r="D69" s="71">
        <f>Data!C$103</f>
        <v>2.58</v>
      </c>
      <c r="E69" s="71">
        <f>Data!D$103</f>
        <v>2.3439999999999999</v>
      </c>
      <c r="F69" s="71">
        <f>Data!E$103</f>
        <v>1.8720000000000001</v>
      </c>
      <c r="G69" s="71">
        <f>Data!F$103</f>
        <v>2.1349999999999998</v>
      </c>
      <c r="H69" s="71">
        <f>Data!G$103</f>
        <v>2.169</v>
      </c>
      <c r="I69" s="71">
        <f>Data!H$103</f>
        <v>1.7949999999999999</v>
      </c>
      <c r="J69" s="128">
        <f ca="1">Data!I$103*IF($F$1="Yes",OFFSET('Forecast Adjuster'!$A$68,0,J$289),1) + IF($I$1="Yes",J$296,0) + IF($L$1="Yes",J$348,0)</f>
        <v>2.1960000000000002</v>
      </c>
      <c r="K69" s="128">
        <f ca="1">Data!J$103*IF($F$1="Yes",OFFSET('Forecast Adjuster'!$A$68,0,K$289),1) + IF($I$1="Yes",K$296,0) + IF($L$1="Yes",K$348,0)</f>
        <v>2.6389999999999998</v>
      </c>
      <c r="L69" s="128">
        <f ca="1">Data!K$103*IF($F$1="Yes",OFFSET('Forecast Adjuster'!$A$68,0,L$289),1) + IF($I$1="Yes",L$296,0) + IF($L$1="Yes",L$348,0)</f>
        <v>2.9079999999999999</v>
      </c>
      <c r="M69" s="128">
        <f ca="1">Data!L$103*IF($F$1="Yes",OFFSET('Forecast Adjuster'!$A$68,0,M$289),1) + IF($I$1="Yes",M$296,0) + IF($L$1="Yes",M$348,0)</f>
        <v>3.0449999999999999</v>
      </c>
      <c r="N69" s="128">
        <f ca="1">Data!M$103*IF($F$1="Yes",OFFSET('Forecast Adjuster'!$A$68,0,N$289),1) + IF($I$1="Yes",N$296,0) + IF($L$1="Yes",N$348,0)</f>
        <v>3.504</v>
      </c>
      <c r="O69" s="75">
        <f t="shared" ref="O69:X69" ca="1" si="38">SUM(O$65:O$68)</f>
        <v>3.4367946292293947</v>
      </c>
      <c r="P69" s="75">
        <f t="shared" ca="1" si="38"/>
        <v>3.5486011309901793</v>
      </c>
      <c r="Q69" s="75">
        <f t="shared" ca="1" si="38"/>
        <v>3.6668056862566134</v>
      </c>
      <c r="R69" s="75">
        <f t="shared" ca="1" si="38"/>
        <v>3.8287009174354605</v>
      </c>
      <c r="S69" s="75">
        <f t="shared" ca="1" si="38"/>
        <v>4.0368190898446938</v>
      </c>
      <c r="T69" s="75">
        <f t="shared" ca="1" si="38"/>
        <v>4.2424568961019702</v>
      </c>
      <c r="U69" s="75">
        <f t="shared" ca="1" si="38"/>
        <v>4.4547322600916104</v>
      </c>
      <c r="V69" s="75">
        <f t="shared" ca="1" si="38"/>
        <v>4.6717415278844516</v>
      </c>
      <c r="W69" s="75">
        <f t="shared" ca="1" si="38"/>
        <v>4.8935775528698819</v>
      </c>
      <c r="X69" s="75">
        <f t="shared" ca="1" si="38"/>
        <v>5.1190031195648</v>
      </c>
    </row>
    <row r="70" spans="1:24" x14ac:dyDescent="0.2">
      <c r="A70" s="31" t="s">
        <v>637</v>
      </c>
      <c r="B70" s="228"/>
      <c r="C70" s="69"/>
      <c r="D70" s="69">
        <f>SUM(Data!C$135:C$136)-Data!C$137</f>
        <v>0.41500000000000004</v>
      </c>
      <c r="E70" s="69">
        <f>SUM(Data!D$135:D$136)-Data!D$137</f>
        <v>0.87000000000000011</v>
      </c>
      <c r="F70" s="69">
        <f>SUM(Data!E$135:E$136)-Data!E$137</f>
        <v>1.125</v>
      </c>
      <c r="G70" s="69">
        <f>SUM(Data!F$135:F$136)-Data!F$137</f>
        <v>0.17999999999999972</v>
      </c>
      <c r="H70" s="69">
        <f>SUM(Data!G$135:G$136)-Data!G$137</f>
        <v>0.40100000000000025</v>
      </c>
      <c r="I70" s="69">
        <f>SUM(Data!H$135:H$136)-Data!H$137</f>
        <v>0.96800000000000019</v>
      </c>
      <c r="J70" s="103">
        <f>SUM(Data!I$135:I$136)-Data!I$137 + IF($I$1="Yes",J$298,0)</f>
        <v>0.85499999999999976</v>
      </c>
      <c r="K70" s="103">
        <f>SUM(Data!J$135:J$136)-Data!J$137 + IF($I$1="Yes",K$298,0)</f>
        <v>0.94900000000000007</v>
      </c>
      <c r="L70" s="103">
        <f>SUM(Data!K$135:K$136)-Data!K$137 + IF($I$1="Yes",L$298,0)</f>
        <v>1.123</v>
      </c>
      <c r="M70" s="103">
        <f>SUM(Data!L$135:L$136)-Data!L$137 + IF($I$1="Yes",M$298,0)</f>
        <v>1.2849999999999997</v>
      </c>
      <c r="N70" s="103">
        <f>SUM(Data!M$135:M$136)-Data!M$137 + IF($I$1="Yes",N$298,0)</f>
        <v>1.5600000000000003</v>
      </c>
      <c r="O70" s="73">
        <f t="shared" ref="O70:X70" ca="1" si="39">N$70*SUM(O$162,O$163)/SUM(N$162,N$163)</f>
        <v>1.6300015972643107</v>
      </c>
      <c r="P70" s="73">
        <f t="shared" ca="1" si="39"/>
        <v>1.7033362715695737</v>
      </c>
      <c r="Q70" s="73">
        <f t="shared" ca="1" si="39"/>
        <v>1.7819338386068437</v>
      </c>
      <c r="R70" s="73">
        <f t="shared" ca="1" si="39"/>
        <v>1.8643767907406266</v>
      </c>
      <c r="S70" s="73">
        <f t="shared" ca="1" si="39"/>
        <v>1.9501108796049242</v>
      </c>
      <c r="T70" s="73">
        <f t="shared" ca="1" si="39"/>
        <v>2.0381569667185357</v>
      </c>
      <c r="U70" s="73">
        <f t="shared" ca="1" si="39"/>
        <v>2.1287197578538848</v>
      </c>
      <c r="V70" s="73">
        <f t="shared" ca="1" si="39"/>
        <v>2.222775336978954</v>
      </c>
      <c r="W70" s="73">
        <f t="shared" ca="1" si="39"/>
        <v>2.3197632398325028</v>
      </c>
      <c r="X70" s="73">
        <f t="shared" ca="1" si="39"/>
        <v>2.4194865206396456</v>
      </c>
    </row>
    <row r="71" spans="1:24" x14ac:dyDescent="0.2">
      <c r="A71" s="31" t="s">
        <v>1059</v>
      </c>
      <c r="B71" s="69"/>
      <c r="C71" s="69"/>
      <c r="D71" s="173">
        <f>(D$166-D$165)*D$145</f>
        <v>0</v>
      </c>
      <c r="E71" s="173">
        <f t="shared" ref="E71:M71" si="40">(E$166-E$165)*E$145</f>
        <v>0</v>
      </c>
      <c r="F71" s="173">
        <f t="shared" si="40"/>
        <v>0</v>
      </c>
      <c r="G71" s="173">
        <f t="shared" si="40"/>
        <v>0</v>
      </c>
      <c r="H71" s="173">
        <f t="shared" si="40"/>
        <v>0</v>
      </c>
      <c r="I71" s="173">
        <f t="shared" si="40"/>
        <v>0</v>
      </c>
      <c r="J71" s="127">
        <f t="shared" si="40"/>
        <v>0</v>
      </c>
      <c r="K71" s="127">
        <f t="shared" si="40"/>
        <v>0</v>
      </c>
      <c r="L71" s="127">
        <f t="shared" si="40"/>
        <v>0</v>
      </c>
      <c r="M71" s="127">
        <f t="shared" si="40"/>
        <v>0</v>
      </c>
      <c r="N71" s="127">
        <f>(N$166-N$165)*N$145</f>
        <v>0</v>
      </c>
      <c r="O71" s="368">
        <f ca="1">O$144-(SUM(N$231,IF(N$234&lt;=0,OFFSET(Scenarios!$A$49,0,$C$1),N$232/N$234)*N$237)+SUM(O$231-N$231,IF(N$234&lt;=0,OFFSET(Scenarios!$A$49,0,$C$1),N$232/N$234)*(O$34-N$34-(O$36-N$36)-SUM(O$21,O$23,N$67)+SUM(O$20,N$142)))/2)*O$145-O$67</f>
        <v>0</v>
      </c>
      <c r="P71" s="368">
        <f ca="1">P$144-(SUM(O$231,IF(O$234&lt;=0,OFFSET(Scenarios!$A$49,0,$C$1),O$232/O$234)*O$237)+SUM(P$231-O$231,IF(O$234&lt;=0,OFFSET(Scenarios!$A$49,0,$C$1),O$232/O$234)*(P$34-O$34-(P$36-O$36)-SUM(P$21,P$23,O$67)+SUM(P$20,O$142)))/2)*P$145-P$67</f>
        <v>0</v>
      </c>
      <c r="Q71" s="368">
        <f ca="1">Q$144-(SUM(P$231,IF(P$234&lt;=0,OFFSET(Scenarios!$A$49,0,$C$1),P$232/P$234)*P$237)+SUM(Q$231-P$231,IF(P$234&lt;=0,OFFSET(Scenarios!$A$49,0,$C$1),P$232/P$234)*(Q$34-P$34-(Q$36-P$36)-SUM(Q$21,Q$23,P$67)+SUM(Q$20,P$142)))/2)*Q$145-Q$67</f>
        <v>0</v>
      </c>
      <c r="R71" s="368">
        <f ca="1">R$144-(SUM(Q$231,IF(Q$234&lt;=0,OFFSET(Scenarios!$A$49,0,$C$1),Q$232/Q$234)*Q$237)+SUM(R$231-Q$231,IF(Q$234&lt;=0,OFFSET(Scenarios!$A$49,0,$C$1),Q$232/Q$234)*(R$34-Q$34-(R$36-Q$36)-SUM(R$21,R$23,Q$67)+SUM(R$20,Q$142)))/2)*R$145-R$67</f>
        <v>0</v>
      </c>
      <c r="S71" s="368">
        <f ca="1">S$144-(SUM(R$231,IF(R$234&lt;=0,OFFSET(Scenarios!$A$49,0,$C$1),R$232/R$234)*R$237)+SUM(S$231-R$231,IF(R$234&lt;=0,OFFSET(Scenarios!$A$49,0,$C$1),R$232/R$234)*(S$34-R$34-(S$36-R$36)-SUM(S$21,S$23,R$67)+SUM(S$20,R$142)))/2)*S$145-S$67</f>
        <v>0</v>
      </c>
      <c r="T71" s="368">
        <f ca="1">T$144-(SUM(S$231,IF(S$234&lt;=0,OFFSET(Scenarios!$A$49,0,$C$1),S$232/S$234)*S$237)+SUM(T$231-S$231,IF(S$234&lt;=0,OFFSET(Scenarios!$A$49,0,$C$1),S$232/S$234)*(T$34-S$34-(T$36-S$36)-SUM(T$21,T$23,S$67)+SUM(T$20,S$142)))/2)*T$145-T$67</f>
        <v>0</v>
      </c>
      <c r="U71" s="368">
        <f ca="1">U$144-(SUM(T$231,IF(T$234&lt;=0,OFFSET(Scenarios!$A$49,0,$C$1),T$232/T$234)*T$237)+SUM(U$231-T$231,IF(T$234&lt;=0,OFFSET(Scenarios!$A$49,0,$C$1),T$232/T$234)*(U$34-T$34-(U$36-T$36)-SUM(U$21,U$23,T$67)+SUM(U$20,T$142)))/2)*U$145-U$67</f>
        <v>0</v>
      </c>
      <c r="V71" s="368">
        <f ca="1">V$144-(SUM(U$231,IF(U$234&lt;=0,OFFSET(Scenarios!$A$49,0,$C$1),U$232/U$234)*U$237)+SUM(V$231-U$231,IF(U$234&lt;=0,OFFSET(Scenarios!$A$49,0,$C$1),U$232/U$234)*(V$34-U$34-(V$36-U$36)-SUM(V$21,V$23,U$67)+SUM(V$20,U$142)))/2)*V$145-V$67</f>
        <v>0</v>
      </c>
      <c r="W71" s="368">
        <f ca="1">W$144-(SUM(V$231,IF(V$234&lt;=0,OFFSET(Scenarios!$A$49,0,$C$1),V$232/V$234)*V$237)+SUM(W$231-V$231,IF(V$234&lt;=0,OFFSET(Scenarios!$A$49,0,$C$1),V$232/V$234)*(W$34-V$34-(W$36-V$36)-SUM(W$21,W$23,V$67)+SUM(W$20,V$142)))/2)*W$145-W$67</f>
        <v>0</v>
      </c>
      <c r="X71" s="368">
        <f ca="1">X$144-(SUM(W$231,IF(W$234&lt;=0,OFFSET(Scenarios!$A$49,0,$C$1),W$232/W$234)*W$237)+SUM(X$231-W$231,IF(W$234&lt;=0,OFFSET(Scenarios!$A$49,0,$C$1),W$232/W$234)*(X$34-W$34-(X$36-W$36)-SUM(X$21,X$23,W$67)+SUM(X$20,W$142)))/2)*X$145-X$67</f>
        <v>0</v>
      </c>
    </row>
    <row r="72" spans="1:24" x14ac:dyDescent="0.2">
      <c r="A72" s="27" t="s">
        <v>334</v>
      </c>
      <c r="B72" s="77"/>
      <c r="C72" s="69"/>
      <c r="D72" s="71">
        <f>SUM(D$69,D$70,D$71)</f>
        <v>2.9950000000000001</v>
      </c>
      <c r="E72" s="71">
        <f t="shared" ref="E72:X72" si="41">SUM(E$69,E$70,E$71)</f>
        <v>3.214</v>
      </c>
      <c r="F72" s="71">
        <f t="shared" si="41"/>
        <v>2.9969999999999999</v>
      </c>
      <c r="G72" s="71">
        <f t="shared" si="41"/>
        <v>2.3149999999999995</v>
      </c>
      <c r="H72" s="71">
        <f t="shared" si="41"/>
        <v>2.5700000000000003</v>
      </c>
      <c r="I72" s="71">
        <f t="shared" si="41"/>
        <v>2.7629999999999999</v>
      </c>
      <c r="J72" s="128">
        <f t="shared" ca="1" si="41"/>
        <v>3.0510000000000002</v>
      </c>
      <c r="K72" s="128">
        <f t="shared" ca="1" si="41"/>
        <v>3.5880000000000001</v>
      </c>
      <c r="L72" s="128">
        <f t="shared" ca="1" si="41"/>
        <v>4.0309999999999997</v>
      </c>
      <c r="M72" s="128">
        <f t="shared" ca="1" si="41"/>
        <v>4.33</v>
      </c>
      <c r="N72" s="128">
        <f t="shared" ca="1" si="41"/>
        <v>5.0640000000000001</v>
      </c>
      <c r="O72" s="75">
        <f t="shared" ca="1" si="41"/>
        <v>5.0667962264937056</v>
      </c>
      <c r="P72" s="75">
        <f t="shared" ca="1" si="41"/>
        <v>5.2519374025597525</v>
      </c>
      <c r="Q72" s="75">
        <f t="shared" ca="1" si="41"/>
        <v>5.4487395248634574</v>
      </c>
      <c r="R72" s="75">
        <f t="shared" ca="1" si="41"/>
        <v>5.6930777081760873</v>
      </c>
      <c r="S72" s="75">
        <f t="shared" ca="1" si="41"/>
        <v>5.9869299694496183</v>
      </c>
      <c r="T72" s="75">
        <f t="shared" ca="1" si="41"/>
        <v>6.2806138628205055</v>
      </c>
      <c r="U72" s="75">
        <f t="shared" ca="1" si="41"/>
        <v>6.5834520179454952</v>
      </c>
      <c r="V72" s="75">
        <f t="shared" ca="1" si="41"/>
        <v>6.8945168648634052</v>
      </c>
      <c r="W72" s="75">
        <f t="shared" ca="1" si="41"/>
        <v>7.2133407927023843</v>
      </c>
      <c r="X72" s="75">
        <f t="shared" ca="1" si="41"/>
        <v>7.5384896402044461</v>
      </c>
    </row>
    <row r="73" spans="1:24" x14ac:dyDescent="0.2">
      <c r="A73" s="152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x14ac:dyDescent="0.2">
      <c r="A74" s="106" t="s">
        <v>581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x14ac:dyDescent="0.2">
      <c r="A75" s="31" t="s">
        <v>246</v>
      </c>
      <c r="B75" s="228"/>
      <c r="C75" s="69"/>
      <c r="D75" s="69">
        <f>Data!C$140</f>
        <v>6.81</v>
      </c>
      <c r="E75" s="69">
        <f>Data!D$140</f>
        <v>7.3479999999999999</v>
      </c>
      <c r="F75" s="69">
        <f>Data!E$140</f>
        <v>7.7439999999999998</v>
      </c>
      <c r="G75" s="69">
        <f>Data!F$140</f>
        <v>8.2899999999999991</v>
      </c>
      <c r="H75" s="69">
        <f>Data!G$140</f>
        <v>8.83</v>
      </c>
      <c r="I75" s="69">
        <f>Data!H$140</f>
        <v>9.5839999999999996</v>
      </c>
      <c r="J75" s="123">
        <f ca="1">Data!I$140*IF($F$1="Yes",OFFSET('Forecast Adjuster'!$A$72,0,J$289),1) + IF($I$1="Yes",J$299,0)</f>
        <v>10.234999999999999</v>
      </c>
      <c r="K75" s="123">
        <f ca="1">Data!J$140*IF($F$1="Yes",OFFSET('Forecast Adjuster'!$A$72,0,K$289),1) + IF($I$1="Yes",K$299,0)</f>
        <v>10.894</v>
      </c>
      <c r="L75" s="123">
        <f ca="1">Data!K$140*IF($F$1="Yes",OFFSET('Forecast Adjuster'!$A$72,0,L$289),1) + IF($I$1="Yes",L$299,0)</f>
        <v>11.494999999999999</v>
      </c>
      <c r="M75" s="123">
        <f ca="1">Data!L$140*IF($F$1="Yes",OFFSET('Forecast Adjuster'!$A$72,0,M$289),1) + IF($I$1="Yes",M$299,0)</f>
        <v>12.102</v>
      </c>
      <c r="N75" s="123">
        <f ca="1">Data!M$140*IF($F$1="Yes",OFFSET('Forecast Adjuster'!$A$72,0,N$289),1) + IF($I$1="Yes",N$299,0)</f>
        <v>12.712</v>
      </c>
      <c r="O75" s="73">
        <f ca="1">N$75*(1+Popn!O$201)*(3*N$94/M$94+O$94/N$94)/4</f>
        <v>13.468656731141532</v>
      </c>
      <c r="P75" s="73">
        <f ca="1">O$75*(1+Popn!P$201)*(3*O$94/N$94+P$94/O$94)/4</f>
        <v>14.209002604683519</v>
      </c>
      <c r="Q75" s="73">
        <f ca="1">P$75*(1+Popn!Q$201)*(3*P$94/O$94+Q$94/P$94)/4</f>
        <v>15.015889222404885</v>
      </c>
      <c r="R75" s="73">
        <f ca="1">Q$75*(1+Popn!R$201)*(3*Q$94/P$94+R$94/Q$94)/4</f>
        <v>16.010570177638794</v>
      </c>
      <c r="S75" s="73">
        <f ca="1">R$75*(1+Popn!S$201)*(3*R$94/Q$94+S$94/R$94)/4</f>
        <v>17.118138013587576</v>
      </c>
      <c r="T75" s="73">
        <f ca="1">S$75*(1+Popn!T$201)*(3*S$94/R$94+T$94/S$94)/4</f>
        <v>18.287283352916536</v>
      </c>
      <c r="U75" s="73">
        <f ca="1">T$75*(1+Popn!U$201)*(3*T$94/S$94+U$94/T$94)/4</f>
        <v>19.561430640615846</v>
      </c>
      <c r="V75" s="73">
        <f ca="1">U$75*(1+Popn!V$201)*(3*U$94/T$94+V$94/U$94)/4</f>
        <v>20.906095139556342</v>
      </c>
      <c r="W75" s="73">
        <f ca="1">V$75*(1+Popn!W$201)*(3*V$94/U$94+W$94/V$94)/4</f>
        <v>22.359237391442296</v>
      </c>
      <c r="X75" s="73">
        <f ca="1">W$75*(1+Popn!X$201)*(3*W$94/V$94+X$94/W$94)/4</f>
        <v>23.896102008268009</v>
      </c>
    </row>
    <row r="76" spans="1:24" x14ac:dyDescent="0.2">
      <c r="A76" s="31" t="s">
        <v>1017</v>
      </c>
      <c r="B76" s="228"/>
      <c r="C76" s="69"/>
      <c r="D76" s="69">
        <f>Data!C$144</f>
        <v>3.786</v>
      </c>
      <c r="E76" s="69">
        <f>Data!D$144</f>
        <v>3.734</v>
      </c>
      <c r="F76" s="69">
        <f>Data!E$144</f>
        <v>3.9890000000000003</v>
      </c>
      <c r="G76" s="69">
        <f>Data!F$144</f>
        <v>4.6360000000000001</v>
      </c>
      <c r="H76" s="69">
        <f>Data!G$144</f>
        <v>4.7490000000000006</v>
      </c>
      <c r="I76" s="69">
        <f>Data!H$144</f>
        <v>4.7939999999999996</v>
      </c>
      <c r="J76" s="123">
        <f ca="1">Data!I$144*IF($F$1="Yes",OFFSET('Forecast Adjuster'!$A$67,0,J$289),1) + IF($I$1="Yes",SUM(J$303:J$306),0)</f>
        <v>4.6550000000000002</v>
      </c>
      <c r="K76" s="123">
        <f ca="1">Data!J$144*IF($F$1="Yes",OFFSET('Forecast Adjuster'!$A$67,0,K$289),1) + IF($I$1="Yes",SUM(K$303:K$306),0)</f>
        <v>0.18099999999999999</v>
      </c>
      <c r="L76" s="123">
        <f ca="1">Data!K$144*IF($F$1="Yes",OFFSET('Forecast Adjuster'!$A$67,0,L$289),1) + IF($I$1="Yes",SUM(L$303:L$306),0)</f>
        <v>0</v>
      </c>
      <c r="M76" s="123">
        <f ca="1">Data!L$144*IF($F$1="Yes",OFFSET('Forecast Adjuster'!$A$67,0,M$289),1) + IF($I$1="Yes",SUM(M$303:M$306),0)</f>
        <v>0</v>
      </c>
      <c r="N76" s="123">
        <f ca="1">Data!M$144*IF($F$1="Yes",OFFSET('Forecast Adjuster'!$A$67,0,N$289),1) + IF($I$1="Yes",SUM(N$303:N$306),0)</f>
        <v>0</v>
      </c>
      <c r="O76" s="73">
        <f>IF(O$2="Proj Yr1",0,N$76)</f>
        <v>0</v>
      </c>
      <c r="P76" s="73">
        <f t="shared" ref="P76:X76" si="42">IF(P$2="Proj Yr1",0,O$76)</f>
        <v>0</v>
      </c>
      <c r="Q76" s="73">
        <f t="shared" si="42"/>
        <v>0</v>
      </c>
      <c r="R76" s="73">
        <f t="shared" si="42"/>
        <v>0</v>
      </c>
      <c r="S76" s="73">
        <f t="shared" si="42"/>
        <v>0</v>
      </c>
      <c r="T76" s="73">
        <f t="shared" si="42"/>
        <v>0</v>
      </c>
      <c r="U76" s="73">
        <f t="shared" si="42"/>
        <v>0</v>
      </c>
      <c r="V76" s="73">
        <f t="shared" si="42"/>
        <v>0</v>
      </c>
      <c r="W76" s="73">
        <f t="shared" si="42"/>
        <v>0</v>
      </c>
      <c r="X76" s="73">
        <f t="shared" si="42"/>
        <v>0</v>
      </c>
    </row>
    <row r="77" spans="1:24" x14ac:dyDescent="0.2">
      <c r="A77" s="31" t="s">
        <v>1018</v>
      </c>
      <c r="B77" s="228"/>
      <c r="C77" s="69"/>
      <c r="D77" s="69">
        <f>Data!C$141</f>
        <v>0</v>
      </c>
      <c r="E77" s="69">
        <f>Data!D$141</f>
        <v>0</v>
      </c>
      <c r="F77" s="69">
        <f>Data!E$141</f>
        <v>0</v>
      </c>
      <c r="G77" s="69">
        <f>Data!F$141</f>
        <v>0</v>
      </c>
      <c r="H77" s="69">
        <f>Data!G$141</f>
        <v>0</v>
      </c>
      <c r="I77" s="69">
        <f>Data!H$141</f>
        <v>0</v>
      </c>
      <c r="J77" s="123">
        <f ca="1">Data!I$141*IF($F$1="Yes",OFFSET('Forecast Adjuster'!$A$67,0,J$289)*AVERAGE(1,OFFSET('Forecast Adjuster'!$A$73,0,J$289)),1) + IF($I$1="Yes",J$300,0)</f>
        <v>0</v>
      </c>
      <c r="K77" s="123">
        <f ca="1">Data!J$141*IF($F$1="Yes",OFFSET('Forecast Adjuster'!$A$67,0,K$289)*AVERAGE(1,OFFSET('Forecast Adjuster'!$A$73,0,K$289)),1) + IF($I$1="Yes",K$300,0)</f>
        <v>1.7729999999999999</v>
      </c>
      <c r="L77" s="123">
        <f ca="1">Data!K$141*IF($F$1="Yes",OFFSET('Forecast Adjuster'!$A$67,0,L$289)*AVERAGE(1,OFFSET('Forecast Adjuster'!$A$73,0,L$289)),1) + IF($I$1="Yes",L$300,0)</f>
        <v>1.867</v>
      </c>
      <c r="M77" s="123">
        <f ca="1">Data!L$141*IF($F$1="Yes",OFFSET('Forecast Adjuster'!$A$67,0,M$289)*AVERAGE(1,OFFSET('Forecast Adjuster'!$A$73,0,M$289)),1) + IF($I$1="Yes",M$300,0)</f>
        <v>1.8580000000000001</v>
      </c>
      <c r="N77" s="123">
        <f ca="1">Data!M$141*IF($F$1="Yes",OFFSET('Forecast Adjuster'!$A$67,0,N$289)*AVERAGE(1,OFFSET('Forecast Adjuster'!$A$73,0,N$289)),1) + IF($I$1="Yes",N$300,0)</f>
        <v>1.85</v>
      </c>
      <c r="O77" s="73">
        <f ca="1">N$77*(1+O$247)*(1+SUMPRODUCT(Popn!O$204:O$214,Tracks!$F$88:$F$98)+SUMPRODUCT(Popn!O$215:O$225,Tracks!$G$88:$G$98))*AVERAGE(1,O$251*O$254/(N$251*N$254))</f>
        <v>1.8579644926340748</v>
      </c>
      <c r="P77" s="73">
        <f ca="1">O$77*(1+P$247)*(1+SUMPRODUCT(Popn!P$204:P$214,Tracks!$F$88:$F$98)+SUMPRODUCT(Popn!P$215:P$225,Tracks!$G$88:$G$98))*AVERAGE(1,P$251*P$254/(O$251*O$254))</f>
        <v>1.8850299056306727</v>
      </c>
      <c r="Q77" s="73">
        <f ca="1">P$77*(1+Q$247)*(1+SUMPRODUCT(Popn!Q$204:Q$214,Tracks!$F$88:$F$98)+SUMPRODUCT(Popn!Q$215:Q$225,Tracks!$G$88:$G$98))*AVERAGE(1,Q$251*Q$254/(P$251*P$254))</f>
        <v>1.9172541508977528</v>
      </c>
      <c r="R77" s="73">
        <f ca="1">Q$77*(1+R$247)*(1+SUMPRODUCT(Popn!R$204:R$214,Tracks!$F$88:$F$98)+SUMPRODUCT(Popn!R$215:R$225,Tracks!$G$88:$G$98))*AVERAGE(1,R$251*R$254/(Q$251*Q$254))</f>
        <v>1.9487154966567077</v>
      </c>
      <c r="S77" s="73">
        <f ca="1">R$77*(1+S$247)*(1+SUMPRODUCT(Popn!S$204:S$214,Tracks!$F$88:$F$98)+SUMPRODUCT(Popn!S$215:S$225,Tracks!$G$88:$G$98))*AVERAGE(1,S$251*S$254/(R$251*R$254))</f>
        <v>1.9821939356923939</v>
      </c>
      <c r="T77" s="73">
        <f ca="1">S$77*(1+T$247)*(1+SUMPRODUCT(Popn!T$204:T$214,Tracks!$F$88:$F$98)+SUMPRODUCT(Popn!T$215:T$225,Tracks!$G$88:$G$98))*AVERAGE(1,T$251*T$254/(S$251*S$254))</f>
        <v>2.0306716788839654</v>
      </c>
      <c r="U77" s="73">
        <f ca="1">T$77*(1+U$247)*(1+SUMPRODUCT(Popn!U$204:U$214,Tracks!$F$88:$F$98)+SUMPRODUCT(Popn!U$215:U$225,Tracks!$G$88:$G$98))*AVERAGE(1,U$251*U$254/(T$251*T$254))</f>
        <v>2.0870246425662629</v>
      </c>
      <c r="V77" s="73">
        <f ca="1">U$77*(1+V$247)*(1+SUMPRODUCT(Popn!V$204:V$214,Tracks!$F$88:$F$98)+SUMPRODUCT(Popn!V$215:V$225,Tracks!$G$88:$G$98))*AVERAGE(1,V$251*V$254/(U$251*U$254))</f>
        <v>2.1467030099508064</v>
      </c>
      <c r="W77" s="73">
        <f ca="1">V$77*(1+W$247)*(1+SUMPRODUCT(Popn!W$204:W$214,Tracks!$F$88:$F$98)+SUMPRODUCT(Popn!W$215:W$225,Tracks!$G$88:$G$98))*AVERAGE(1,W$251*W$254/(V$251*V$254))</f>
        <v>2.2089294444517735</v>
      </c>
      <c r="X77" s="73">
        <f ca="1">W$77*(1+X$247)*(1+SUMPRODUCT(Popn!X$204:X$214,Tracks!$F$88:$F$98)+SUMPRODUCT(Popn!X$215:X$225,Tracks!$G$88:$G$98))*AVERAGE(1,X$251*X$254/(W$251*W$254))</f>
        <v>2.2709692527871512</v>
      </c>
    </row>
    <row r="78" spans="1:24" x14ac:dyDescent="0.2">
      <c r="A78" s="31" t="s">
        <v>1020</v>
      </c>
      <c r="B78" s="228"/>
      <c r="C78" s="69"/>
      <c r="D78" s="69">
        <f>Data!C$142</f>
        <v>0</v>
      </c>
      <c r="E78" s="69">
        <f>Data!D$142</f>
        <v>0</v>
      </c>
      <c r="F78" s="69">
        <f>Data!E$142</f>
        <v>0</v>
      </c>
      <c r="G78" s="69">
        <f>Data!F$142</f>
        <v>0</v>
      </c>
      <c r="H78" s="69">
        <f>Data!G$142</f>
        <v>0</v>
      </c>
      <c r="I78" s="69">
        <f>Data!H$142</f>
        <v>0</v>
      </c>
      <c r="J78" s="123">
        <f ca="1">Data!I$142*IF($F$1="Yes",OFFSET('Forecast Adjuster'!$A$67,0,J$289),1) + IF($I$1="Yes",J$301,0)</f>
        <v>0</v>
      </c>
      <c r="K78" s="123">
        <f ca="1">Data!J$142*IF($F$1="Yes",OFFSET('Forecast Adjuster'!$A$67,0,K$289),1) + IF($I$1="Yes",K$301,0)</f>
        <v>1.3919999999999999</v>
      </c>
      <c r="L78" s="123">
        <f ca="1">Data!K$142*IF($F$1="Yes",OFFSET('Forecast Adjuster'!$A$67,0,L$289),1) + IF($I$1="Yes",L$301,0)</f>
        <v>1.4350000000000001</v>
      </c>
      <c r="M78" s="123">
        <f ca="1">Data!L$142*IF($F$1="Yes",OFFSET('Forecast Adjuster'!$A$67,0,M$289),1) + IF($I$1="Yes",M$301,0)</f>
        <v>1.4430000000000001</v>
      </c>
      <c r="N78" s="123">
        <f ca="1">Data!M$142*IF($F$1="Yes",OFFSET('Forecast Adjuster'!$A$67,0,N$289),1) + IF($I$1="Yes",N$301,0)</f>
        <v>1.456</v>
      </c>
      <c r="O78" s="73">
        <f ca="1">N$78*(1+O$247)*(1+SUMPRODUCT(Popn!O$204:O$214,Tracks!$D$88:$D$98)+SUMPRODUCT(Popn!O$215:O$225,Tracks!$E$88:$E$98))</f>
        <v>1.4965493783090851</v>
      </c>
      <c r="P78" s="73">
        <f ca="1">O$78*(1+P$247)*(1+SUMPRODUCT(Popn!P$204:P$214,Tracks!$D$88:$D$98)+SUMPRODUCT(Popn!P$215:P$225,Tracks!$E$88:$E$98))</f>
        <v>1.5361733235791781</v>
      </c>
      <c r="Q78" s="73">
        <f ca="1">P$78*(1+Q$247)*(1+SUMPRODUCT(Popn!Q$204:Q$214,Tracks!$D$88:$D$98)+SUMPRODUCT(Popn!Q$215:Q$225,Tracks!$E$88:$E$98))</f>
        <v>1.5745531499534851</v>
      </c>
      <c r="R78" s="73">
        <f ca="1">Q$78*(1+R$247)*(1+SUMPRODUCT(Popn!R$204:R$214,Tracks!$D$88:$D$98)+SUMPRODUCT(Popn!R$215:R$225,Tracks!$E$88:$E$98))</f>
        <v>1.6128875658777442</v>
      </c>
      <c r="S78" s="73">
        <f ca="1">R$78*(1+S$247)*(1+SUMPRODUCT(Popn!S$204:S$214,Tracks!$D$88:$D$98)+SUMPRODUCT(Popn!S$215:S$225,Tracks!$E$88:$E$98))</f>
        <v>1.6519994624354664</v>
      </c>
      <c r="T78" s="73">
        <f ca="1">S$78*(1+T$247)*(1+SUMPRODUCT(Popn!T$204:T$214,Tracks!$D$88:$D$98)+SUMPRODUCT(Popn!T$215:T$225,Tracks!$E$88:$E$98))</f>
        <v>1.6910187082140182</v>
      </c>
      <c r="U78" s="73">
        <f ca="1">T$78*(1+U$247)*(1+SUMPRODUCT(Popn!U$204:U$214,Tracks!$D$88:$D$98)+SUMPRODUCT(Popn!U$215:U$225,Tracks!$E$88:$E$98))</f>
        <v>1.7287085183908149</v>
      </c>
      <c r="V78" s="73">
        <f ca="1">U$78*(1+V$247)*(1+SUMPRODUCT(Popn!V$204:V$214,Tracks!$D$88:$D$98)+SUMPRODUCT(Popn!V$215:V$225,Tracks!$E$88:$E$98))</f>
        <v>1.7673781987772197</v>
      </c>
      <c r="W78" s="73">
        <f ca="1">V$78*(1+W$247)*(1+SUMPRODUCT(Popn!W$204:W$214,Tracks!$D$88:$D$98)+SUMPRODUCT(Popn!W$215:W$225,Tracks!$E$88:$E$98))</f>
        <v>1.80563983086186</v>
      </c>
      <c r="X78" s="73">
        <f ca="1">W$78*(1+X$247)*(1+SUMPRODUCT(Popn!X$204:X$214,Tracks!$D$88:$D$98)+SUMPRODUCT(Popn!X$215:X$225,Tracks!$E$88:$E$98))</f>
        <v>1.8428413288605567</v>
      </c>
    </row>
    <row r="79" spans="1:24" x14ac:dyDescent="0.2">
      <c r="A79" s="31" t="s">
        <v>1019</v>
      </c>
      <c r="B79" s="228"/>
      <c r="C79" s="69"/>
      <c r="D79" s="69">
        <f>Data!C$143</f>
        <v>0</v>
      </c>
      <c r="E79" s="69">
        <f>Data!D$143</f>
        <v>0</v>
      </c>
      <c r="F79" s="69">
        <f>Data!E$143</f>
        <v>0</v>
      </c>
      <c r="G79" s="69">
        <f>Data!F$143</f>
        <v>0</v>
      </c>
      <c r="H79" s="69">
        <f>Data!G$143</f>
        <v>0</v>
      </c>
      <c r="I79" s="69">
        <f>Data!H$143</f>
        <v>0</v>
      </c>
      <c r="J79" s="123">
        <f ca="1">Data!I$143*IF($F$1="Yes",OFFSET('Forecast Adjuster'!$A$67,0,J$289),1) + IF($I$1="Yes",J$302,0)</f>
        <v>0</v>
      </c>
      <c r="K79" s="123">
        <f ca="1">Data!J$143*IF($F$1="Yes",OFFSET('Forecast Adjuster'!$A$67,0,K$289),1) + IF($I$1="Yes",K$302,0)</f>
        <v>1.288</v>
      </c>
      <c r="L79" s="123">
        <f ca="1">Data!K$143*IF($F$1="Yes",OFFSET('Forecast Adjuster'!$A$67,0,L$289),1) + IF($I$1="Yes",L$302,0)</f>
        <v>1.341</v>
      </c>
      <c r="M79" s="123">
        <f ca="1">Data!L$143*IF($F$1="Yes",OFFSET('Forecast Adjuster'!$A$67,0,M$289),1) + IF($I$1="Yes",M$302,0)</f>
        <v>1.3660000000000001</v>
      </c>
      <c r="N79" s="123">
        <f ca="1">Data!M$143*IF($F$1="Yes",OFFSET('Forecast Adjuster'!$A$67,0,N$289),1) + IF($I$1="Yes",N$302,0)</f>
        <v>1.391</v>
      </c>
      <c r="O79" s="73">
        <f ca="1">N$79*(1+O$247)*(1+SUMPRODUCT(Popn!O$204:O$214,Tracks!$B$88:$B$98)+SUMPRODUCT(Popn!O$215:O$225,Tracks!$C$88:$C$98))</f>
        <v>1.4248409312484172</v>
      </c>
      <c r="P79" s="73">
        <f ca="1">O$79*(1+P$247)*(1+SUMPRODUCT(Popn!P$204:P$214,Tracks!$B$88:$B$98)+SUMPRODUCT(Popn!P$215:P$225,Tracks!$C$88:$C$98))</f>
        <v>1.4575587860468786</v>
      </c>
      <c r="Q79" s="73">
        <f ca="1">P$79*(1+Q$247)*(1+SUMPRODUCT(Popn!Q$204:Q$214,Tracks!$B$88:$B$98)+SUMPRODUCT(Popn!Q$215:Q$225,Tracks!$C$88:$C$98))</f>
        <v>1.4923869995899606</v>
      </c>
      <c r="R79" s="73">
        <f ca="1">Q$79*(1+R$247)*(1+SUMPRODUCT(Popn!R$204:R$214,Tracks!$B$88:$B$98)+SUMPRODUCT(Popn!R$215:R$225,Tracks!$C$88:$C$98))</f>
        <v>1.5266260863205336</v>
      </c>
      <c r="S79" s="73">
        <f ca="1">R$79*(1+S$247)*(1+SUMPRODUCT(Popn!S$204:S$214,Tracks!$B$88:$B$98)+SUMPRODUCT(Popn!S$215:S$225,Tracks!$C$88:$C$98))</f>
        <v>1.5608220062578102</v>
      </c>
      <c r="T79" s="73">
        <f ca="1">S$79*(1+T$247)*(1+SUMPRODUCT(Popn!T$204:T$214,Tracks!$B$88:$B$98)+SUMPRODUCT(Popn!T$215:T$225,Tracks!$C$88:$C$98))</f>
        <v>1.5955935064783724</v>
      </c>
      <c r="U79" s="73">
        <f ca="1">T$79*(1+U$247)*(1+SUMPRODUCT(Popn!U$204:U$214,Tracks!$B$88:$B$98)+SUMPRODUCT(Popn!U$215:U$225,Tracks!$C$88:$C$98))</f>
        <v>1.6329709746083736</v>
      </c>
      <c r="V79" s="73">
        <f ca="1">U$79*(1+V$247)*(1+SUMPRODUCT(Popn!V$204:V$214,Tracks!$B$88:$B$98)+SUMPRODUCT(Popn!V$215:V$225,Tracks!$C$88:$C$98))</f>
        <v>1.6711908817146588</v>
      </c>
      <c r="W79" s="73">
        <f ca="1">V$79*(1+W$247)*(1+SUMPRODUCT(Popn!W$204:W$214,Tracks!$B$88:$B$98)+SUMPRODUCT(Popn!W$215:W$225,Tracks!$C$88:$C$98))</f>
        <v>1.7123365750947188</v>
      </c>
      <c r="X79" s="73">
        <f ca="1">W$79*(1+X$247)*(1+SUMPRODUCT(Popn!X$204:X$214,Tracks!$B$88:$B$98)+SUMPRODUCT(Popn!X$215:X$225,Tracks!$C$88:$C$98))</f>
        <v>1.7561423401409757</v>
      </c>
    </row>
    <row r="80" spans="1:24" x14ac:dyDescent="0.2">
      <c r="A80" s="31" t="s">
        <v>890</v>
      </c>
      <c r="B80" s="228"/>
      <c r="C80" s="69"/>
      <c r="D80" s="69">
        <f>Data!C$145</f>
        <v>1.6890000000000001</v>
      </c>
      <c r="E80" s="69">
        <f>Data!D$145</f>
        <v>1.88</v>
      </c>
      <c r="F80" s="69">
        <f>Data!E$145</f>
        <v>2.0529999999999999</v>
      </c>
      <c r="G80" s="69">
        <f>Data!F$145</f>
        <v>2.1589999999999998</v>
      </c>
      <c r="H80" s="69">
        <f>Data!G$145</f>
        <v>2.13</v>
      </c>
      <c r="I80" s="69">
        <f>Data!H$145</f>
        <v>2.0710000000000002</v>
      </c>
      <c r="J80" s="123">
        <f ca="1">Data!I$145*IF($F$1="Yes",OFFSET('Forecast Adjuster'!$A$67,0,J$289),1) + IF($I$1="Yes",J$307,0)</f>
        <v>2.0470000000000002</v>
      </c>
      <c r="K80" s="123">
        <f ca="1">Data!J$145*IF($F$1="Yes",OFFSET('Forecast Adjuster'!$A$67,0,K$289),1) + IF($I$1="Yes",K$307,0)</f>
        <v>2.0259999999999998</v>
      </c>
      <c r="L80" s="123">
        <f ca="1">Data!K$145*IF($F$1="Yes",OFFSET('Forecast Adjuster'!$A$67,0,L$289),1) + IF($I$1="Yes",L$307,0)</f>
        <v>1.9930000000000001</v>
      </c>
      <c r="M80" s="123">
        <f ca="1">Data!L$145*IF($F$1="Yes",OFFSET('Forecast Adjuster'!$A$67,0,M$289),1) + IF($I$1="Yes",M$307,0)</f>
        <v>1.95</v>
      </c>
      <c r="N80" s="123">
        <f ca="1">Data!M$145*IF($F$1="Yes",OFFSET('Forecast Adjuster'!$A$67,0,N$289),1) + IF($I$1="Yes",N$307,0)</f>
        <v>1.9319999999999999</v>
      </c>
      <c r="O80" s="73">
        <f ca="1">N$80*(1+O$247)*(1+Popn!O$202)</f>
        <v>1.9774798759326282</v>
      </c>
      <c r="P80" s="73">
        <f ca="1">O$80*(1+P$247)*(1+Popn!P$202)</f>
        <v>2.0208594445845538</v>
      </c>
      <c r="Q80" s="73">
        <f ca="1">P$80*(1+Q$247)*(1+Popn!Q$202)</f>
        <v>2.0681493038987298</v>
      </c>
      <c r="R80" s="73">
        <f ca="1">Q$80*(1+R$247)*(1+Popn!R$202)</f>
        <v>2.1213741574064167</v>
      </c>
      <c r="S80" s="73">
        <f ca="1">R$80*(1+S$247)*(1+Popn!S$202)</f>
        <v>2.1757690287956066</v>
      </c>
      <c r="T80" s="73">
        <f ca="1">S$80*(1+T$247)*(1+Popn!T$202)</f>
        <v>2.2287465490741925</v>
      </c>
      <c r="U80" s="73">
        <f ca="1">T$80*(1+U$247)*(1+Popn!U$202)</f>
        <v>2.284186626679781</v>
      </c>
      <c r="V80" s="73">
        <f ca="1">U$80*(1+V$247)*(1+Popn!V$202)</f>
        <v>2.3384367931949539</v>
      </c>
      <c r="W80" s="73">
        <f ca="1">V$80*(1+W$247)*(1+Popn!W$202)</f>
        <v>2.3888717231824375</v>
      </c>
      <c r="X80" s="73">
        <f ca="1">W$80*(1+X$247)*(1+Popn!X$202)</f>
        <v>2.4361297801452451</v>
      </c>
    </row>
    <row r="81" spans="1:24" x14ac:dyDescent="0.2">
      <c r="A81" s="31" t="s">
        <v>1068</v>
      </c>
      <c r="B81" s="228"/>
      <c r="C81" s="69"/>
      <c r="D81" s="69">
        <f>Data!C$146</f>
        <v>0.53600000000000003</v>
      </c>
      <c r="E81" s="69">
        <f>Data!D$146</f>
        <v>0.61399999999999999</v>
      </c>
      <c r="F81" s="69">
        <f>Data!E$146</f>
        <v>0.62</v>
      </c>
      <c r="G81" s="69">
        <f>Data!F$146</f>
        <v>0.628</v>
      </c>
      <c r="H81" s="69">
        <f>Data!G$146</f>
        <v>0.61599999999999999</v>
      </c>
      <c r="I81" s="69">
        <f>Data!H$146</f>
        <v>0.59899999999999998</v>
      </c>
      <c r="J81" s="123">
        <f>Data!I$146</f>
        <v>0.57199999999999995</v>
      </c>
      <c r="K81" s="123">
        <f>Data!J$146</f>
        <v>0.53900000000000003</v>
      </c>
      <c r="L81" s="123">
        <f>Data!K$146</f>
        <v>0.52100000000000002</v>
      </c>
      <c r="M81" s="123">
        <f>Data!L$146</f>
        <v>0.51100000000000001</v>
      </c>
      <c r="N81" s="123">
        <f>Data!M$146</f>
        <v>0.51</v>
      </c>
      <c r="O81" s="73">
        <f>N$81</f>
        <v>0.51</v>
      </c>
      <c r="P81" s="73">
        <f t="shared" ref="P81:X81" si="43">O$81</f>
        <v>0.51</v>
      </c>
      <c r="Q81" s="73">
        <f t="shared" si="43"/>
        <v>0.51</v>
      </c>
      <c r="R81" s="73">
        <f t="shared" si="43"/>
        <v>0.51</v>
      </c>
      <c r="S81" s="73">
        <f t="shared" si="43"/>
        <v>0.51</v>
      </c>
      <c r="T81" s="73">
        <f t="shared" si="43"/>
        <v>0.51</v>
      </c>
      <c r="U81" s="73">
        <f t="shared" si="43"/>
        <v>0.51</v>
      </c>
      <c r="V81" s="73">
        <f t="shared" si="43"/>
        <v>0.51</v>
      </c>
      <c r="W81" s="73">
        <f t="shared" si="43"/>
        <v>0.51</v>
      </c>
      <c r="X81" s="73">
        <f t="shared" si="43"/>
        <v>0.51</v>
      </c>
    </row>
    <row r="82" spans="1:24" x14ac:dyDescent="0.2">
      <c r="A82" s="31" t="s">
        <v>1037</v>
      </c>
      <c r="B82" s="228"/>
      <c r="C82" s="69"/>
      <c r="D82" s="69">
        <f>Data!C$147</f>
        <v>0.877</v>
      </c>
      <c r="E82" s="69">
        <f>Data!D$147</f>
        <v>0.89100000000000001</v>
      </c>
      <c r="F82" s="69">
        <f>Data!E$147</f>
        <v>0.98899999999999999</v>
      </c>
      <c r="G82" s="69">
        <f>Data!F$147</f>
        <v>1.1539999999999999</v>
      </c>
      <c r="H82" s="69">
        <f>Data!G$147</f>
        <v>1.1970000000000001</v>
      </c>
      <c r="I82" s="69">
        <f>Data!H$147</f>
        <v>1.1950000000000001</v>
      </c>
      <c r="J82" s="123">
        <f>Data!I$147 + IF($I$1="Yes",J$308,0)</f>
        <v>1.1779999999999999</v>
      </c>
      <c r="K82" s="123">
        <f>Data!J$147 + IF($I$1="Yes",K$308,0)</f>
        <v>1.1910000000000001</v>
      </c>
      <c r="L82" s="123">
        <f>Data!K$147 + IF($I$1="Yes",L$308,0)</f>
        <v>1.2110000000000001</v>
      </c>
      <c r="M82" s="123">
        <f>Data!L$147 + IF($I$1="Yes",M$308,0)</f>
        <v>1.228</v>
      </c>
      <c r="N82" s="123">
        <f>Data!M$147 + IF($I$1="Yes",N$308,0)</f>
        <v>1.244</v>
      </c>
      <c r="O82" s="73">
        <f ca="1">N$82*(1+O$247)*(1+Popn!O$203)</f>
        <v>1.2820569490618174</v>
      </c>
      <c r="P82" s="73">
        <f ca="1">O$82*(1+P$247)*(1+Popn!P$203)</f>
        <v>1.3210844416573784</v>
      </c>
      <c r="Q82" s="73">
        <f ca="1">P$82*(1+Q$247)*(1+Popn!Q$203)</f>
        <v>1.3608484418205149</v>
      </c>
      <c r="R82" s="73">
        <f ca="1">Q$82*(1+R$247)*(1+Popn!R$203)</f>
        <v>1.4019672771253788</v>
      </c>
      <c r="S82" s="73">
        <f ca="1">R$82*(1+S$247)*(1+Popn!S$203)</f>
        <v>1.4449605789215301</v>
      </c>
      <c r="T82" s="73">
        <f ca="1">S$82*(1+T$247)*(1+Popn!T$203)</f>
        <v>1.4897106155324153</v>
      </c>
      <c r="U82" s="73">
        <f ca="1">T$82*(1+U$247)*(1+Popn!U$203)</f>
        <v>1.5350820983144746</v>
      </c>
      <c r="V82" s="73">
        <f ca="1">U$82*(1+V$247)*(1+Popn!V$203)</f>
        <v>1.5816412635650876</v>
      </c>
      <c r="W82" s="73">
        <f ca="1">V$82*(1+W$247)*(1+Popn!W$203)</f>
        <v>1.6287385771084759</v>
      </c>
      <c r="X82" s="73">
        <f ca="1">W$82*(1+X$247)*(1+Popn!X$203)</f>
        <v>1.6761918142092633</v>
      </c>
    </row>
    <row r="83" spans="1:24" x14ac:dyDescent="0.2">
      <c r="A83" s="31" t="s">
        <v>972</v>
      </c>
      <c r="B83" s="228"/>
      <c r="C83" s="69"/>
      <c r="D83" s="69">
        <f>Data!C$148</f>
        <v>0.434</v>
      </c>
      <c r="E83" s="69">
        <f>Data!D$148</f>
        <v>0.46500000000000002</v>
      </c>
      <c r="F83" s="69">
        <f>Data!E$148</f>
        <v>0.504</v>
      </c>
      <c r="G83" s="69">
        <f>Data!F$148</f>
        <v>0.52200000000000002</v>
      </c>
      <c r="H83" s="69">
        <f>Data!G$148</f>
        <v>0.55300000000000005</v>
      </c>
      <c r="I83" s="69">
        <f>Data!H$148</f>
        <v>0.57999999999999996</v>
      </c>
      <c r="J83" s="123">
        <f>Data!I$148+ IF($I$1="Yes",J$310,0)</f>
        <v>0.63700000000000001</v>
      </c>
      <c r="K83" s="123">
        <f>Data!J$148+ IF($I$1="Yes",K$310,0)</f>
        <v>0.66200000000000003</v>
      </c>
      <c r="L83" s="123">
        <f>Data!K$148+ IF($I$1="Yes",L$310,0)</f>
        <v>0.68300000000000005</v>
      </c>
      <c r="M83" s="123">
        <f>Data!L$148+ IF($I$1="Yes",M$310,0)</f>
        <v>0.71899999999999997</v>
      </c>
      <c r="N83" s="123">
        <f>Data!M$148+ IF($I$1="Yes",N$310,0)</f>
        <v>0.76200000000000001</v>
      </c>
      <c r="O83" s="73">
        <f ca="1">N$83*(1+O$247)*(1+Popn!O$203)</f>
        <v>0.78531141092050238</v>
      </c>
      <c r="P83" s="73">
        <f ca="1">O$83*(1+P$247)*(1+Popn!P$203)</f>
        <v>0.80921731876440706</v>
      </c>
      <c r="Q83" s="73">
        <f ca="1">P$83*(1+Q$247)*(1+Popn!Q$203)</f>
        <v>0.83357436709584598</v>
      </c>
      <c r="R83" s="73">
        <f ca="1">Q$83*(1+R$247)*(1+Popn!R$203)</f>
        <v>0.8587613064063816</v>
      </c>
      <c r="S83" s="73">
        <f ca="1">R$83*(1+S$247)*(1+Popn!S$203)</f>
        <v>0.88509643178312369</v>
      </c>
      <c r="T83" s="73">
        <f ca="1">S$83*(1+T$247)*(1+Popn!T$203)</f>
        <v>0.91250762784220296</v>
      </c>
      <c r="U83" s="73">
        <f ca="1">T$83*(1+U$247)*(1+Popn!U$203)</f>
        <v>0.94029948465886626</v>
      </c>
      <c r="V83" s="73">
        <f ca="1">U$83*(1+V$247)*(1+Popn!V$203)</f>
        <v>0.96881884472395241</v>
      </c>
      <c r="W83" s="73">
        <f ca="1">V$83*(1+W$247)*(1+Popn!W$203)</f>
        <v>0.99766784224811789</v>
      </c>
      <c r="X83" s="73">
        <f ca="1">W$83*(1+X$247)*(1+Popn!X$203)</f>
        <v>1.0267348572567996</v>
      </c>
    </row>
    <row r="84" spans="1:24" x14ac:dyDescent="0.2">
      <c r="A84" s="31" t="s">
        <v>1038</v>
      </c>
      <c r="B84" s="228"/>
      <c r="C84" s="69"/>
      <c r="D84" s="69">
        <f>Data!C$149</f>
        <v>0.34800000000000003</v>
      </c>
      <c r="E84" s="69">
        <f>Data!D$149</f>
        <v>0.36699999999999999</v>
      </c>
      <c r="F84" s="69">
        <f>Data!E$149</f>
        <v>0.39</v>
      </c>
      <c r="G84" s="69">
        <f>Data!F$149</f>
        <v>0.41099999999999998</v>
      </c>
      <c r="H84" s="69">
        <f>Data!G$149</f>
        <v>0.40899999999999997</v>
      </c>
      <c r="I84" s="69">
        <f>Data!H$149</f>
        <v>0.40100000000000002</v>
      </c>
      <c r="J84" s="123">
        <f>Data!I$149 + IF($I$1="Yes",J$309,0)</f>
        <v>0.38500000000000001</v>
      </c>
      <c r="K84" s="123">
        <f>Data!J$149 + IF($I$1="Yes",K$309,0)</f>
        <v>0.38</v>
      </c>
      <c r="L84" s="123">
        <f>Data!K$149 + IF($I$1="Yes",L$309,0)</f>
        <v>0.377</v>
      </c>
      <c r="M84" s="123">
        <f>Data!L$149 + IF($I$1="Yes",M$309,0)</f>
        <v>0.376</v>
      </c>
      <c r="N84" s="123">
        <f>Data!M$149 + IF($I$1="Yes",N$309,0)</f>
        <v>0.376</v>
      </c>
      <c r="O84" s="73">
        <f ca="1">N$84*(1+O$247)*(1+Popn!O$203)</f>
        <v>0.38750274344633712</v>
      </c>
      <c r="P84" s="73">
        <f ca="1">O$84*(1+P$247)*(1+Popn!P$203)</f>
        <v>0.3992988344559279</v>
      </c>
      <c r="Q84" s="73">
        <f ca="1">P$84*(1+Q$247)*(1+Popn!Q$203)</f>
        <v>0.41131753546986621</v>
      </c>
      <c r="R84" s="73">
        <f ca="1">Q$84*(1+R$247)*(1+Popn!R$203)</f>
        <v>0.42374573649448743</v>
      </c>
      <c r="S84" s="73">
        <f ca="1">R$84*(1+S$247)*(1+Popn!S$203)</f>
        <v>0.43674049652290614</v>
      </c>
      <c r="T84" s="73">
        <f ca="1">S$84*(1+T$247)*(1+Popn!T$203)</f>
        <v>0.45026623106124447</v>
      </c>
      <c r="U84" s="73">
        <f ca="1">T$84*(1+U$247)*(1+Popn!U$203)</f>
        <v>0.4639797982043749</v>
      </c>
      <c r="V84" s="73">
        <f ca="1">U$84*(1+V$247)*(1+Popn!V$203)</f>
        <v>0.47805234332835439</v>
      </c>
      <c r="W84" s="73">
        <f ca="1">V$84*(1+W$247)*(1+Popn!W$203)</f>
        <v>0.49228754420642029</v>
      </c>
      <c r="X84" s="73">
        <f ca="1">W$84*(1+X$247)*(1+Popn!X$203)</f>
        <v>0.50663032326582225</v>
      </c>
    </row>
    <row r="85" spans="1:24" x14ac:dyDescent="0.2">
      <c r="A85" s="157" t="s">
        <v>244</v>
      </c>
      <c r="B85" s="228"/>
      <c r="C85" s="69"/>
      <c r="D85" s="69">
        <f>Data!C$151</f>
        <v>1.1539999999999999</v>
      </c>
      <c r="E85" s="69">
        <f>Data!D$151</f>
        <v>1.2250000000000001</v>
      </c>
      <c r="F85" s="69">
        <f>Data!E$151</f>
        <v>1.49</v>
      </c>
      <c r="G85" s="69">
        <f>Data!F$151</f>
        <v>1.3840000000000001</v>
      </c>
      <c r="H85" s="69">
        <f>Data!G$151</f>
        <v>1.5309999999999999</v>
      </c>
      <c r="I85" s="69">
        <f>Data!H$151</f>
        <v>1.288</v>
      </c>
      <c r="J85" s="123">
        <f ca="1">Data!I$151*IF($F$1="Yes",OFFSET('Forecast Adjuster'!$A$67,0,J$289),1) + IF($I$1="Yes",J$311,0)</f>
        <v>1.377</v>
      </c>
      <c r="K85" s="123">
        <f ca="1">Data!J$151*IF($F$1="Yes",OFFSET('Forecast Adjuster'!$A$67,0,K$289),1) + IF($I$1="Yes",K$311,0)</f>
        <v>1.3280000000000001</v>
      </c>
      <c r="L85" s="123">
        <f ca="1">Data!K$151*IF($F$1="Yes",OFFSET('Forecast Adjuster'!$A$67,0,L$289),1) + IF($I$1="Yes",L$311,0)</f>
        <v>1.304</v>
      </c>
      <c r="M85" s="123">
        <f ca="1">Data!L$151*IF($F$1="Yes",OFFSET('Forecast Adjuster'!$A$67,0,M$289),1) + IF($I$1="Yes",M$311,0)</f>
        <v>1.31</v>
      </c>
      <c r="N85" s="123">
        <f ca="1">Data!M$151*IF($F$1="Yes",OFFSET('Forecast Adjuster'!$A$67,0,N$289),1) + IF($I$1="Yes",N$311,0)</f>
        <v>1.323</v>
      </c>
      <c r="O85" s="73">
        <f ca="1">N$85*(1+O$247)*(1+Popn!O$203)</f>
        <v>1.3634737488816595</v>
      </c>
      <c r="P85" s="73">
        <f ca="1">O$85*(1+P$247)*(1+Popn!P$203)</f>
        <v>1.4049796754925334</v>
      </c>
      <c r="Q85" s="73">
        <f ca="1">P$85*(1+Q$247)*(1+Popn!Q$203)</f>
        <v>1.4472688814538113</v>
      </c>
      <c r="R85" s="73">
        <f ca="1">Q$85*(1+R$247)*(1+Popn!R$203)</f>
        <v>1.4909989611228909</v>
      </c>
      <c r="S85" s="73">
        <f ca="1">R$85*(1+S$247)*(1+Popn!S$203)</f>
        <v>1.5367225449462898</v>
      </c>
      <c r="T85" s="73">
        <f ca="1">S$85*(1+T$247)*(1+Popn!T$203)</f>
        <v>1.5843144247181558</v>
      </c>
      <c r="U85" s="73">
        <f ca="1">T$85*(1+U$247)*(1+Popn!U$203)</f>
        <v>1.6325672154903941</v>
      </c>
      <c r="V85" s="73">
        <f ca="1">U$85*(1+V$247)*(1+Popn!V$203)</f>
        <v>1.6820831122963114</v>
      </c>
      <c r="W85" s="73">
        <f ca="1">V$85*(1+W$247)*(1+Popn!W$203)</f>
        <v>1.7321713324071657</v>
      </c>
      <c r="X85" s="73">
        <f ca="1">W$85*(1+X$247)*(1+Popn!X$203)</f>
        <v>1.7826380789379868</v>
      </c>
    </row>
    <row r="86" spans="1:24" x14ac:dyDescent="0.2">
      <c r="A86" s="157" t="s">
        <v>893</v>
      </c>
      <c r="B86" s="36"/>
      <c r="C86" s="69"/>
      <c r="D86" s="173">
        <f>D$87-SUM(D$75:D$85)</f>
        <v>1.1340000000000003</v>
      </c>
      <c r="E86" s="173">
        <f t="shared" ref="E86:N86" si="44">E$87-SUM(E$75:E$85)</f>
        <v>1.352999999999998</v>
      </c>
      <c r="F86" s="173">
        <f t="shared" si="44"/>
        <v>1.6030000000000015</v>
      </c>
      <c r="G86" s="173">
        <f t="shared" si="44"/>
        <v>2.0010000000000012</v>
      </c>
      <c r="H86" s="173">
        <f t="shared" si="44"/>
        <v>1.990000000000002</v>
      </c>
      <c r="I86" s="173">
        <f t="shared" si="44"/>
        <v>1.5159999999999982</v>
      </c>
      <c r="J86" s="127">
        <f t="shared" ca="1" si="44"/>
        <v>1.8069999999999986</v>
      </c>
      <c r="K86" s="127">
        <f t="shared" ca="1" si="44"/>
        <v>1.9410000000000025</v>
      </c>
      <c r="L86" s="127">
        <f t="shared" ca="1" si="44"/>
        <v>1.8830000000000062</v>
      </c>
      <c r="M86" s="127">
        <f t="shared" ca="1" si="44"/>
        <v>1.6709999999999958</v>
      </c>
      <c r="N86" s="127">
        <f t="shared" ca="1" si="44"/>
        <v>1.6899999999999977</v>
      </c>
      <c r="O86" s="269">
        <f ca="1">N$86 +IF(OFFSET(Scenarios!$A$72,0,$C$1)="Yes",(O$148-N$148)*OFFSET(Scenarios!$A$75,0,$C$1),0)-0.253</f>
        <v>1.4369999999999976</v>
      </c>
      <c r="P86" s="269">
        <f ca="1">O$86 +IF(OFFSET(Scenarios!$A$72,0,$C$1)="Yes",(P$148-O$148)*OFFSET(Scenarios!$A$75,0,$C$1),0)</f>
        <v>1.4369999999999976</v>
      </c>
      <c r="Q86" s="269">
        <f ca="1">P$86 +IF(OFFSET(Scenarios!$A$72,0,$C$1)="Yes",(Q$148-P$148)*OFFSET(Scenarios!$A$75,0,$C$1),0)</f>
        <v>1.4369999999999976</v>
      </c>
      <c r="R86" s="269">
        <f ca="1">Q$86 +IF(OFFSET(Scenarios!$A$72,0,$C$1)="Yes",(R$148-Q$148)*OFFSET(Scenarios!$A$75,0,$C$1),0)</f>
        <v>1.4369999999999976</v>
      </c>
      <c r="S86" s="269">
        <f ca="1">R$86 +IF(OFFSET(Scenarios!$A$72,0,$C$1)="Yes",(S$148-R$148)*OFFSET(Scenarios!$A$75,0,$C$1),0)</f>
        <v>1.4369999999999976</v>
      </c>
      <c r="T86" s="269">
        <f ca="1">S$86 +IF(OFFSET(Scenarios!$A$72,0,$C$1)="Yes",(T$148-S$148)*OFFSET(Scenarios!$A$75,0,$C$1),0)</f>
        <v>1.4369999999999976</v>
      </c>
      <c r="U86" s="269">
        <f ca="1">T$86 +IF(OFFSET(Scenarios!$A$72,0,$C$1)="Yes",(U$148-T$148)*OFFSET(Scenarios!$A$75,0,$C$1),0)</f>
        <v>1.4369999999999976</v>
      </c>
      <c r="V86" s="269">
        <f ca="1">U$86 +IF(OFFSET(Scenarios!$A$72,0,$C$1)="Yes",(V$148-U$148)*OFFSET(Scenarios!$A$75,0,$C$1),0)</f>
        <v>1.4369999999999976</v>
      </c>
      <c r="W86" s="269">
        <f ca="1">V$86 +IF(OFFSET(Scenarios!$A$72,0,$C$1)="Yes",(W$148-V$148)*OFFSET(Scenarios!$A$75,0,$C$1),0)</f>
        <v>1.4369999999999976</v>
      </c>
      <c r="X86" s="269">
        <f ca="1">W$86 +IF(OFFSET(Scenarios!$A$72,0,$C$1)="Yes",(X$148-W$148)*OFFSET(Scenarios!$A$75,0,$C$1),0)</f>
        <v>1.4369999999999976</v>
      </c>
    </row>
    <row r="87" spans="1:24" x14ac:dyDescent="0.2">
      <c r="A87" s="27" t="s">
        <v>408</v>
      </c>
      <c r="B87" s="228"/>
      <c r="C87" s="69"/>
      <c r="D87" s="71">
        <f>Data!C$39</f>
        <v>16.768000000000001</v>
      </c>
      <c r="E87" s="71">
        <f>Data!D$39</f>
        <v>17.876999999999999</v>
      </c>
      <c r="F87" s="71">
        <f>Data!E$39</f>
        <v>19.382000000000001</v>
      </c>
      <c r="G87" s="71">
        <f>Data!F$39</f>
        <v>21.184999999999999</v>
      </c>
      <c r="H87" s="71">
        <f>Data!G$39</f>
        <v>22.004999999999999</v>
      </c>
      <c r="I87" s="71">
        <f>Data!H$39</f>
        <v>22.027999999999999</v>
      </c>
      <c r="J87" s="128">
        <f ca="1">Data!I$39 + IF($F$1="Yes",SUM((Data!I$39-SUM(Data!I$140,Data!I$141))*(OFFSET('Forecast Adjuster'!$A$67,0,J$289)-1),Data!I$140*(OFFSET('Forecast Adjuster'!$A$72,0,J$289)-1),Data!I$141*(OFFSET('Forecast Adjuster'!$A$67,0,J$289)*AVERAGE(1,OFFSET('Forecast Adjuster'!$A$73,0,J$289))-1)),0) + IF(OFFSET(Scenarios!$A$72,0,$C$1)="Yes",OFFSET(Scenarios!$A$75,0,$C$1)*J$148,0) + IF($I$1="Yes",SUM(J$299:J$311),0)</f>
        <v>22.893000000000001</v>
      </c>
      <c r="K87" s="128">
        <f ca="1">Data!J$39 + IF($F$1="Yes",SUM((Data!J$39-SUM(Data!J$140,Data!J$141))*(OFFSET('Forecast Adjuster'!$A$67,0,K$289)-1),Data!J$140*(OFFSET('Forecast Adjuster'!$A$72,0,K$289)-1),Data!J$141*(OFFSET('Forecast Adjuster'!$A$67,0,K$289)*AVERAGE(1,OFFSET('Forecast Adjuster'!$A$73,0,K$289))-1)),0) + IF(OFFSET(Scenarios!$A$72,0,$C$1)="Yes",OFFSET(Scenarios!$A$75,0,$C$1)*K$148,0) + IF($I$1="Yes",SUM(K$299:K$311),0)</f>
        <v>23.594999999999999</v>
      </c>
      <c r="L87" s="128">
        <f ca="1">Data!K$39 + IF($F$1="Yes",SUM((Data!K$39-SUM(Data!K$140,Data!K$141))*(OFFSET('Forecast Adjuster'!$A$67,0,L$289)-1),Data!K$140*(OFFSET('Forecast Adjuster'!$A$72,0,L$289)-1),Data!K$141*(OFFSET('Forecast Adjuster'!$A$67,0,L$289)*AVERAGE(1,OFFSET('Forecast Adjuster'!$A$73,0,L$289))-1)),0) + IF(OFFSET(Scenarios!$A$72,0,$C$1)="Yes",OFFSET(Scenarios!$A$75,0,$C$1)*L$148,0) + IF($I$1="Yes",SUM(L$299:L$311),0)</f>
        <v>24.11</v>
      </c>
      <c r="M87" s="128">
        <f ca="1">Data!L$39 + IF($F$1="Yes",SUM((Data!L$39-SUM(Data!L$140,Data!L$141))*(OFFSET('Forecast Adjuster'!$A$67,0,M$289)-1),Data!L$140*(OFFSET('Forecast Adjuster'!$A$72,0,M$289)-1),Data!L$141*(OFFSET('Forecast Adjuster'!$A$67,0,M$289)*AVERAGE(1,OFFSET('Forecast Adjuster'!$A$73,0,M$289))-1)),0) + IF(OFFSET(Scenarios!$A$72,0,$C$1)="Yes",OFFSET(Scenarios!$A$75,0,$C$1)*M$148,0) + IF($I$1="Yes",SUM(M$299:M$311),0)</f>
        <v>24.533999999999999</v>
      </c>
      <c r="N87" s="128">
        <f ca="1">Data!M$39 + IF($F$1="Yes",SUM((Data!M$39-SUM(Data!M$140,Data!M$141))*(OFFSET('Forecast Adjuster'!$A$67,0,N$289)-1),Data!M$140*(OFFSET('Forecast Adjuster'!$A$72,0,N$289)-1),Data!M$141*(OFFSET('Forecast Adjuster'!$A$67,0,N$289)*AVERAGE(1,OFFSET('Forecast Adjuster'!$A$73,0,N$289))-1)),0) + IF(OFFSET(Scenarios!$A$72,0,$C$1)="Yes",OFFSET(Scenarios!$A$75,0,$C$1)*N$148,0) + IF($I$1="Yes",SUM(N$299:N$311),0)</f>
        <v>25.245999999999999</v>
      </c>
      <c r="O87" s="75">
        <f t="shared" ref="O87:X87" ca="1" si="45">SUM(O$75:O$86)</f>
        <v>25.990836261576053</v>
      </c>
      <c r="P87" s="75">
        <f t="shared" ca="1" si="45"/>
        <v>26.990204334895051</v>
      </c>
      <c r="Q87" s="75">
        <f t="shared" ca="1" si="45"/>
        <v>28.06824205258485</v>
      </c>
      <c r="R87" s="75">
        <f t="shared" ca="1" si="45"/>
        <v>29.342646765049338</v>
      </c>
      <c r="S87" s="75">
        <f t="shared" ca="1" si="45"/>
        <v>30.739442498942701</v>
      </c>
      <c r="T87" s="75">
        <f t="shared" ca="1" si="45"/>
        <v>32.217112694721102</v>
      </c>
      <c r="U87" s="75">
        <f t="shared" ca="1" si="45"/>
        <v>33.813249999529184</v>
      </c>
      <c r="V87" s="75">
        <f t="shared" ca="1" si="45"/>
        <v>35.487399587107689</v>
      </c>
      <c r="W87" s="75">
        <f t="shared" ca="1" si="45"/>
        <v>37.272880261003259</v>
      </c>
      <c r="X87" s="75">
        <f t="shared" ca="1" si="45"/>
        <v>39.141379783871805</v>
      </c>
    </row>
    <row r="88" spans="1:24" x14ac:dyDescent="0.2">
      <c r="A88" s="157" t="s">
        <v>582</v>
      </c>
      <c r="B88" s="97"/>
      <c r="C88" s="69"/>
      <c r="D88" s="69">
        <f t="shared" ref="D88:N88" si="46">D$89-D$87</f>
        <v>3.0609999999999999</v>
      </c>
      <c r="E88" s="69">
        <f t="shared" si="46"/>
        <v>3.6320000000000014</v>
      </c>
      <c r="F88" s="69">
        <f t="shared" si="46"/>
        <v>3.8909999999999982</v>
      </c>
      <c r="G88" s="69">
        <f t="shared" si="46"/>
        <v>3.0210000000000008</v>
      </c>
      <c r="H88" s="69">
        <f t="shared" si="46"/>
        <v>3.3190000000000026</v>
      </c>
      <c r="I88" s="69">
        <f t="shared" si="46"/>
        <v>3.429000000000002</v>
      </c>
      <c r="J88" s="103">
        <f t="shared" ca="1" si="46"/>
        <v>3.5459999999999994</v>
      </c>
      <c r="K88" s="103">
        <f t="shared" ca="1" si="46"/>
        <v>3.9150000000000027</v>
      </c>
      <c r="L88" s="103">
        <f t="shared" ca="1" si="46"/>
        <v>4.1829999999999998</v>
      </c>
      <c r="M88" s="103">
        <f t="shared" ca="1" si="46"/>
        <v>4.7469999999999999</v>
      </c>
      <c r="N88" s="103">
        <f t="shared" ca="1" si="46"/>
        <v>4.5549999999999997</v>
      </c>
      <c r="O88" s="73">
        <f t="shared" ref="O88:X88" ca="1" si="47">N$88*(1+O$247)*(1+O$259)*(O$96/N$96)</f>
        <v>4.7403653367246017</v>
      </c>
      <c r="P88" s="73">
        <f t="shared" ca="1" si="47"/>
        <v>4.940404971074158</v>
      </c>
      <c r="Q88" s="73">
        <f t="shared" ca="1" si="47"/>
        <v>5.1609955126841731</v>
      </c>
      <c r="R88" s="73">
        <f t="shared" ca="1" si="47"/>
        <v>5.3904581843286064</v>
      </c>
      <c r="S88" s="73">
        <f t="shared" ca="1" si="47"/>
        <v>5.6280415976144669</v>
      </c>
      <c r="T88" s="73">
        <f t="shared" ca="1" si="47"/>
        <v>5.875333424149475</v>
      </c>
      <c r="U88" s="73">
        <f t="shared" ca="1" si="47"/>
        <v>6.128918169109749</v>
      </c>
      <c r="V88" s="73">
        <f t="shared" ca="1" si="47"/>
        <v>6.3908103748088418</v>
      </c>
      <c r="W88" s="73">
        <f t="shared" ca="1" si="47"/>
        <v>6.660029151518545</v>
      </c>
      <c r="X88" s="73">
        <f t="shared" ca="1" si="47"/>
        <v>6.9383131648730147</v>
      </c>
    </row>
    <row r="89" spans="1:24" x14ac:dyDescent="0.2">
      <c r="A89" s="27" t="s">
        <v>389</v>
      </c>
      <c r="B89" s="228"/>
      <c r="C89" s="69"/>
      <c r="D89" s="71">
        <f>Data!C$20</f>
        <v>19.829000000000001</v>
      </c>
      <c r="E89" s="71">
        <f>Data!D$20</f>
        <v>21.509</v>
      </c>
      <c r="F89" s="71">
        <f>Data!E$20</f>
        <v>23.273</v>
      </c>
      <c r="G89" s="71">
        <f>Data!F$20</f>
        <v>24.206</v>
      </c>
      <c r="H89" s="71">
        <f>Data!G$20</f>
        <v>25.324000000000002</v>
      </c>
      <c r="I89" s="71">
        <f>Data!H$20</f>
        <v>25.457000000000001</v>
      </c>
      <c r="J89" s="128">
        <f ca="1">Data!I$20 + IF($F$1="Yes",SUM((Data!I$39-SUM(Data!I$140,Data!I$141))*(OFFSET('Forecast Adjuster'!$A$67,0,J$289)-1),Data!I$140*(OFFSET('Forecast Adjuster'!$A$72,0,J$289)-1),Data!I$141*(OFFSET('Forecast Adjuster'!$A$67,0,J$289)*AVERAGE(1,OFFSET('Forecast Adjuster'!$A$73,0,J$289))-1)),0) + IF(OFFSET(Scenarios!$A$72,0,$C$1)="Yes",OFFSET(Scenarios!$A$75,0,$C$1)*J$148,0) + IF($I$1="Yes",SUM(J$299:J$311),0)</f>
        <v>26.439</v>
      </c>
      <c r="K89" s="128">
        <f ca="1">Data!J$20 + IF($F$1="Yes",SUM((Data!J$39-SUM(Data!J$140,Data!J$141))*(OFFSET('Forecast Adjuster'!$A$67,0,K$289)-1),Data!J$140*(OFFSET('Forecast Adjuster'!$A$72,0,K$289)-1),Data!J$141*(OFFSET('Forecast Adjuster'!$A$67,0,K$289)*AVERAGE(1,OFFSET('Forecast Adjuster'!$A$73,0,K$289))-1)),0) + IF(OFFSET(Scenarios!$A$72,0,$C$1)="Yes",OFFSET(Scenarios!$A$75,0,$C$1)*K$148,0) + IF($I$1="Yes",SUM(K$299:K$311),0)</f>
        <v>27.51</v>
      </c>
      <c r="L89" s="128">
        <f ca="1">Data!K$20 + IF($F$1="Yes",SUM((Data!K$39-SUM(Data!K$140,Data!K$141))*(OFFSET('Forecast Adjuster'!$A$67,0,L$289)-1),Data!K$140*(OFFSET('Forecast Adjuster'!$A$72,0,L$289)-1),Data!K$141*(OFFSET('Forecast Adjuster'!$A$67,0,L$289)*AVERAGE(1,OFFSET('Forecast Adjuster'!$A$73,0,L$289))-1)),0) + IF(OFFSET(Scenarios!$A$72,0,$C$1)="Yes",OFFSET(Scenarios!$A$75,0,$C$1)*L$148,0) + IF($I$1="Yes",SUM(L$299:L$311),0)</f>
        <v>28.292999999999999</v>
      </c>
      <c r="M89" s="128">
        <f ca="1">Data!L$20 + IF($F$1="Yes",SUM((Data!L$39-SUM(Data!L$140,Data!L$141))*(OFFSET('Forecast Adjuster'!$A$67,0,M$289)-1),Data!L$140*(OFFSET('Forecast Adjuster'!$A$72,0,M$289)-1),Data!L$141*(OFFSET('Forecast Adjuster'!$A$67,0,M$289)*AVERAGE(1,OFFSET('Forecast Adjuster'!$A$73,0,M$289))-1)),0) + IF(OFFSET(Scenarios!$A$72,0,$C$1)="Yes",OFFSET(Scenarios!$A$75,0,$C$1)*M$148,0) + IF($I$1="Yes",SUM(M$299:M$311),0)</f>
        <v>29.280999999999999</v>
      </c>
      <c r="N89" s="128">
        <f ca="1">Data!M$20 + IF($F$1="Yes",SUM((Data!M$39-SUM(Data!M$140,Data!M$141))*(OFFSET('Forecast Adjuster'!$A$67,0,N$289)-1),Data!M$140*(OFFSET('Forecast Adjuster'!$A$72,0,N$289)-1),Data!M$141*(OFFSET('Forecast Adjuster'!$A$67,0,N$289)*AVERAGE(1,OFFSET('Forecast Adjuster'!$A$73,0,N$289))-1)),0) + IF(OFFSET(Scenarios!$A$72,0,$C$1)="Yes",OFFSET(Scenarios!$A$75,0,$C$1)*N$148,0) + IF($I$1="Yes",SUM(N$299:N$311),0)</f>
        <v>29.800999999999998</v>
      </c>
      <c r="O89" s="75">
        <f t="shared" ref="O89:X89" ca="1" si="48">SUM(O$87,O$88)</f>
        <v>30.731201598300654</v>
      </c>
      <c r="P89" s="75">
        <f t="shared" ca="1" si="48"/>
        <v>31.93060930596921</v>
      </c>
      <c r="Q89" s="75">
        <f t="shared" ca="1" si="48"/>
        <v>33.229237565269024</v>
      </c>
      <c r="R89" s="75">
        <f t="shared" ca="1" si="48"/>
        <v>34.733104949377946</v>
      </c>
      <c r="S89" s="75">
        <f t="shared" ca="1" si="48"/>
        <v>36.36748409655717</v>
      </c>
      <c r="T89" s="75">
        <f t="shared" ca="1" si="48"/>
        <v>38.092446118870576</v>
      </c>
      <c r="U89" s="75">
        <f t="shared" ca="1" si="48"/>
        <v>39.942168168638929</v>
      </c>
      <c r="V89" s="75">
        <f t="shared" ca="1" si="48"/>
        <v>41.878209961916532</v>
      </c>
      <c r="W89" s="75">
        <f t="shared" ca="1" si="48"/>
        <v>43.932909412521802</v>
      </c>
      <c r="X89" s="75">
        <f t="shared" ca="1" si="48"/>
        <v>46.079692948744821</v>
      </c>
    </row>
    <row r="90" spans="1:24" x14ac:dyDescent="0.2">
      <c r="A90" s="106" t="s">
        <v>585</v>
      </c>
      <c r="C90" s="69"/>
      <c r="D90" s="69"/>
      <c r="E90" s="69"/>
      <c r="F90" s="73"/>
      <c r="G90" s="73"/>
      <c r="H90" s="73"/>
      <c r="I90" s="73"/>
      <c r="J90" s="73"/>
    </row>
    <row r="91" spans="1:24" x14ac:dyDescent="0.2">
      <c r="A91" s="220" t="s">
        <v>686</v>
      </c>
      <c r="B91" s="228"/>
      <c r="C91" s="69"/>
      <c r="D91" s="175">
        <f>Data!C$236</f>
        <v>832.3</v>
      </c>
      <c r="E91" s="175">
        <f>Data!D$236</f>
        <v>861.27</v>
      </c>
      <c r="F91" s="175">
        <f>Data!E$236</f>
        <v>905.51</v>
      </c>
      <c r="G91" s="175">
        <f>Data!F$236</f>
        <v>934.78</v>
      </c>
      <c r="H91" s="175">
        <f>Data!G$236</f>
        <v>967.96</v>
      </c>
      <c r="I91" s="175">
        <f>Data!H$236</f>
        <v>994.19</v>
      </c>
      <c r="J91" s="284">
        <f ca="1">IF(OR($F$1="Yes",$O$1="Yes"),OFFSET('Forecast Adjuster'!$A$55,0,J$289),Data!I$236)</f>
        <v>1022.88</v>
      </c>
      <c r="K91" s="284">
        <f ca="1">IF(OR($F$1="Yes",$O$1="Yes"),OFFSET('Forecast Adjuster'!$A$55,0,K$289),Data!J$236)</f>
        <v>1050.69</v>
      </c>
      <c r="L91" s="284">
        <f ca="1">IF(OR($F$1="Yes",$O$1="Yes"),OFFSET('Forecast Adjuster'!$A$55,0,L$289),Data!K$236)</f>
        <v>1068.75</v>
      </c>
      <c r="M91" s="284">
        <f ca="1">IF(OR($F$1="Yes",$O$1="Yes"),OFFSET('Forecast Adjuster'!$A$55,0,M$289),Data!L$236)</f>
        <v>1094.93</v>
      </c>
      <c r="N91" s="284">
        <f ca="1">IF(OR($F$1="Yes",$O$1="Yes"),OFFSET('Forecast Adjuster'!$A$55,0,N$289),Data!M$236)</f>
        <v>1130.23</v>
      </c>
      <c r="O91" s="170">
        <f t="shared" ref="O91:X91" ca="1" si="49">N$91*(1+O$259)*(1+O$247)</f>
        <v>1165.65609101172</v>
      </c>
      <c r="P91" s="170">
        <f t="shared" ca="1" si="49"/>
        <v>1203.9649138591221</v>
      </c>
      <c r="Q91" s="170">
        <f t="shared" ca="1" si="49"/>
        <v>1246.4648753183492</v>
      </c>
      <c r="R91" s="170">
        <f t="shared" ca="1" si="49"/>
        <v>1290.4650854170868</v>
      </c>
      <c r="S91" s="170">
        <f t="shared" ca="1" si="49"/>
        <v>1336.01850293231</v>
      </c>
      <c r="T91" s="170">
        <f t="shared" ca="1" si="49"/>
        <v>1383.1799560858203</v>
      </c>
      <c r="U91" s="170">
        <f t="shared" ca="1" si="49"/>
        <v>1432.0062085356496</v>
      </c>
      <c r="V91" s="170">
        <f t="shared" ca="1" si="49"/>
        <v>1482.5560276969582</v>
      </c>
      <c r="W91" s="170">
        <f t="shared" ca="1" si="49"/>
        <v>1534.8902554746608</v>
      </c>
      <c r="X91" s="170">
        <f t="shared" ca="1" si="49"/>
        <v>1589.0718814929162</v>
      </c>
    </row>
    <row r="92" spans="1:24" x14ac:dyDescent="0.2">
      <c r="A92" s="220" t="s">
        <v>688</v>
      </c>
      <c r="B92" s="228"/>
      <c r="C92" s="69"/>
      <c r="D92" s="175">
        <f>Data!C$222</f>
        <v>645.82000000000005</v>
      </c>
      <c r="E92" s="175">
        <f>Data!D$222</f>
        <v>664.02</v>
      </c>
      <c r="F92" s="175">
        <f>Data!E$222</f>
        <v>723.19</v>
      </c>
      <c r="G92" s="175">
        <f>Data!F$222</f>
        <v>741.53</v>
      </c>
      <c r="H92" s="175">
        <f>Data!G$222</f>
        <v>792.36</v>
      </c>
      <c r="I92" s="175">
        <f>Data!H$222</f>
        <v>813.32</v>
      </c>
      <c r="J92" s="284">
        <f ca="1">IF(OR($F$1="Yes",$O$1="Yes"),OFFSET('Forecast Adjuster'!$A$59,0,J$289),Data!I$222)</f>
        <v>833.14</v>
      </c>
      <c r="K92" s="284">
        <f ca="1">IF(OR($F$1="Yes",$O$1="Yes"),OFFSET('Forecast Adjuster'!$A$59,0,K$289),Data!J$222)</f>
        <v>852.07</v>
      </c>
      <c r="L92" s="284">
        <f ca="1">IF(OR($F$1="Yes",$O$1="Yes"),OFFSET('Forecast Adjuster'!$A$59,0,L$289),Data!K$222)</f>
        <v>864.42</v>
      </c>
      <c r="M92" s="284">
        <f ca="1">IF(OR($F$1="Yes",$O$1="Yes"),OFFSET('Forecast Adjuster'!$A$59,0,M$289),Data!L$222)</f>
        <v>882.36</v>
      </c>
      <c r="N92" s="284">
        <f ca="1">IF(OR($F$1="Yes",$O$1="Yes"),OFFSET('Forecast Adjuster'!$A$59,0,N$289),Data!M$222)</f>
        <v>906.25</v>
      </c>
      <c r="O92" s="170">
        <f ca="1">IF(AND(OFFSET(Scenarios!$A$23,0,$C$1)="YES",OFFSET(Scenarios!$A$25,0,$C$1)&gt;=O$4),(52*O$91-IF(52*O$91&gt;OFFSET(Scenarios!$A$89,0,$C$1),(52*O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O$91&gt;OFFSET(Scenarios!$A$88,0,$C$1),(52*O$91-OFFSET(Scenarios!$A$88,0,$C$1))*OFFSET(Scenarios!$A$92,0,$C$1)+(OFFSET(Scenarios!$A$88,0,$C$1)-OFFSET(Scenarios!$A$87,0,$C$1))*OFFSET(Scenarios!$A$91,0,$C$1)+OFFSET(Scenarios!$A$87,0,$C$1)*OFFSET(Scenarios!$A$90,0,$C$1),IF(52*O$91&gt;OFFSET(Scenarios!$A$87,0,$C$1),(52*O$91-OFFSET(Scenarios!$A$87,0,$C$1))*OFFSET(Scenarios!$A$91,0,$C$1)+OFFSET(Scenarios!$A$87,0,$C$1)*OFFSET(Scenarios!$A$90,0,$C$1),52*O$91*OFFSET(Scenarios!$A$90,0,$C$1))))-52*O$91*OFFSET(Scenarios!$A$94,0,$C$1))/52,N$92*O$91/N$91)</f>
        <v>930.37387939177404</v>
      </c>
      <c r="P92" s="170">
        <f ca="1">IF(AND(OFFSET(Scenarios!$A$23,0,$C$1)="YES",OFFSET(Scenarios!$A$25,0,$C$1)&gt;=P$4),(52*P$91-IF(52*P$91&gt;OFFSET(Scenarios!$A$89,0,$C$1),(52*P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P$91&gt;OFFSET(Scenarios!$A$88,0,$C$1),(52*P$91-OFFSET(Scenarios!$A$88,0,$C$1))*OFFSET(Scenarios!$A$92,0,$C$1)+(OFFSET(Scenarios!$A$88,0,$C$1)-OFFSET(Scenarios!$A$87,0,$C$1))*OFFSET(Scenarios!$A$91,0,$C$1)+OFFSET(Scenarios!$A$87,0,$C$1)*OFFSET(Scenarios!$A$90,0,$C$1),IF(52*P$91&gt;OFFSET(Scenarios!$A$87,0,$C$1),(52*P$91-OFFSET(Scenarios!$A$87,0,$C$1))*OFFSET(Scenarios!$A$91,0,$C$1)+OFFSET(Scenarios!$A$87,0,$C$1)*OFFSET(Scenarios!$A$90,0,$C$1),52*P$91*OFFSET(Scenarios!$A$90,0,$C$1))))-52*P$91*OFFSET(Scenarios!$A$94,0,$C$1))/52,O$92*P$91/O$91)</f>
        <v>956.53880539654972</v>
      </c>
      <c r="Q92" s="170">
        <f ca="1">IF(AND(OFFSET(Scenarios!$A$23,0,$C$1)="YES",OFFSET(Scenarios!$A$25,0,$C$1)&gt;=Q$4),(52*Q$91-IF(52*Q$91&gt;OFFSET(Scenarios!$A$89,0,$C$1),(52*Q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Q$91&gt;OFFSET(Scenarios!$A$88,0,$C$1),(52*Q$91-OFFSET(Scenarios!$A$88,0,$C$1))*OFFSET(Scenarios!$A$92,0,$C$1)+(OFFSET(Scenarios!$A$88,0,$C$1)-OFFSET(Scenarios!$A$87,0,$C$1))*OFFSET(Scenarios!$A$91,0,$C$1)+OFFSET(Scenarios!$A$87,0,$C$1)*OFFSET(Scenarios!$A$90,0,$C$1),IF(52*Q$91&gt;OFFSET(Scenarios!$A$87,0,$C$1),(52*Q$91-OFFSET(Scenarios!$A$87,0,$C$1))*OFFSET(Scenarios!$A$91,0,$C$1)+OFFSET(Scenarios!$A$87,0,$C$1)*OFFSET(Scenarios!$A$90,0,$C$1),52*Q$91*OFFSET(Scenarios!$A$90,0,$C$1))))-52*Q$91*OFFSET(Scenarios!$A$94,0,$C$1))/52,P$92*Q$91/P$91)</f>
        <v>985.56627907320171</v>
      </c>
      <c r="R92" s="170">
        <f ca="1">IF(AND(OFFSET(Scenarios!$A$23,0,$C$1)="YES",OFFSET(Scenarios!$A$25,0,$C$1)&gt;=R$4),(52*R$91-IF(52*R$91&gt;OFFSET(Scenarios!$A$89,0,$C$1),(52*R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R$91&gt;OFFSET(Scenarios!$A$88,0,$C$1),(52*R$91-OFFSET(Scenarios!$A$88,0,$C$1))*OFFSET(Scenarios!$A$92,0,$C$1)+(OFFSET(Scenarios!$A$88,0,$C$1)-OFFSET(Scenarios!$A$87,0,$C$1))*OFFSET(Scenarios!$A$91,0,$C$1)+OFFSET(Scenarios!$A$87,0,$C$1)*OFFSET(Scenarios!$A$90,0,$C$1),IF(52*R$91&gt;OFFSET(Scenarios!$A$87,0,$C$1),(52*R$91-OFFSET(Scenarios!$A$87,0,$C$1))*OFFSET(Scenarios!$A$91,0,$C$1)+OFFSET(Scenarios!$A$87,0,$C$1)*OFFSET(Scenarios!$A$90,0,$C$1),52*R$91*OFFSET(Scenarios!$A$90,0,$C$1))))-52*R$91*OFFSET(Scenarios!$A$94,0,$C$1))/52,Q$92*R$91/Q$91)</f>
        <v>1020.3567687244856</v>
      </c>
      <c r="S92" s="170">
        <f ca="1">IF(AND(OFFSET(Scenarios!$A$23,0,$C$1)="YES",OFFSET(Scenarios!$A$25,0,$C$1)&gt;=S$4),(52*S$91-IF(52*S$91&gt;OFFSET(Scenarios!$A$89,0,$C$1),(52*S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S$91&gt;OFFSET(Scenarios!$A$88,0,$C$1),(52*S$91-OFFSET(Scenarios!$A$88,0,$C$1))*OFFSET(Scenarios!$A$92,0,$C$1)+(OFFSET(Scenarios!$A$88,0,$C$1)-OFFSET(Scenarios!$A$87,0,$C$1))*OFFSET(Scenarios!$A$91,0,$C$1)+OFFSET(Scenarios!$A$87,0,$C$1)*OFFSET(Scenarios!$A$90,0,$C$1),IF(52*S$91&gt;OFFSET(Scenarios!$A$87,0,$C$1),(52*S$91-OFFSET(Scenarios!$A$87,0,$C$1))*OFFSET(Scenarios!$A$91,0,$C$1)+OFFSET(Scenarios!$A$87,0,$C$1)*OFFSET(Scenarios!$A$90,0,$C$1),52*S$91*OFFSET(Scenarios!$A$90,0,$C$1))))-52*S$91*OFFSET(Scenarios!$A$94,0,$C$1))/52,R$92*S$91/R$91)</f>
        <v>1056.37536266046</v>
      </c>
      <c r="T92" s="170">
        <f ca="1">IF(AND(OFFSET(Scenarios!$A$23,0,$C$1)="YES",OFFSET(Scenarios!$A$25,0,$C$1)&gt;=T$4),(52*T$91-IF(52*T$91&gt;OFFSET(Scenarios!$A$89,0,$C$1),(52*T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T$91&gt;OFFSET(Scenarios!$A$88,0,$C$1),(52*T$91-OFFSET(Scenarios!$A$88,0,$C$1))*OFFSET(Scenarios!$A$92,0,$C$1)+(OFFSET(Scenarios!$A$88,0,$C$1)-OFFSET(Scenarios!$A$87,0,$C$1))*OFFSET(Scenarios!$A$91,0,$C$1)+OFFSET(Scenarios!$A$87,0,$C$1)*OFFSET(Scenarios!$A$90,0,$C$1),IF(52*T$91&gt;OFFSET(Scenarios!$A$87,0,$C$1),(52*T$91-OFFSET(Scenarios!$A$87,0,$C$1))*OFFSET(Scenarios!$A$91,0,$C$1)+OFFSET(Scenarios!$A$87,0,$C$1)*OFFSET(Scenarios!$A$90,0,$C$1),52*T$91*OFFSET(Scenarios!$A$90,0,$C$1))))-52*T$91*OFFSET(Scenarios!$A$94,0,$C$1))/52,S$92*T$91/S$91)</f>
        <v>1093.6654129623741</v>
      </c>
      <c r="U92" s="170">
        <f ca="1">IF(AND(OFFSET(Scenarios!$A$23,0,$C$1)="YES",OFFSET(Scenarios!$A$25,0,$C$1)&gt;=U$4),(52*U$91-IF(52*U$91&gt;OFFSET(Scenarios!$A$89,0,$C$1),(52*U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U$91&gt;OFFSET(Scenarios!$A$88,0,$C$1),(52*U$91-OFFSET(Scenarios!$A$88,0,$C$1))*OFFSET(Scenarios!$A$92,0,$C$1)+(OFFSET(Scenarios!$A$88,0,$C$1)-OFFSET(Scenarios!$A$87,0,$C$1))*OFFSET(Scenarios!$A$91,0,$C$1)+OFFSET(Scenarios!$A$87,0,$C$1)*OFFSET(Scenarios!$A$90,0,$C$1),IF(52*U$91&gt;OFFSET(Scenarios!$A$87,0,$C$1),(52*U$91-OFFSET(Scenarios!$A$87,0,$C$1))*OFFSET(Scenarios!$A$91,0,$C$1)+OFFSET(Scenarios!$A$87,0,$C$1)*OFFSET(Scenarios!$A$90,0,$C$1),52*U$91*OFFSET(Scenarios!$A$90,0,$C$1))))-52*U$91*OFFSET(Scenarios!$A$94,0,$C$1))/52,T$92*U$91/T$91)</f>
        <v>1132.2718020399459</v>
      </c>
      <c r="V92" s="170">
        <f ca="1">IF(AND(OFFSET(Scenarios!$A$23,0,$C$1)="YES",OFFSET(Scenarios!$A$25,0,$C$1)&gt;=V$4),(52*V$91-IF(52*V$91&gt;OFFSET(Scenarios!$A$89,0,$C$1),(52*V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V$91&gt;OFFSET(Scenarios!$A$88,0,$C$1),(52*V$91-OFFSET(Scenarios!$A$88,0,$C$1))*OFFSET(Scenarios!$A$92,0,$C$1)+(OFFSET(Scenarios!$A$88,0,$C$1)-OFFSET(Scenarios!$A$87,0,$C$1))*OFFSET(Scenarios!$A$91,0,$C$1)+OFFSET(Scenarios!$A$87,0,$C$1)*OFFSET(Scenarios!$A$90,0,$C$1),IF(52*V$91&gt;OFFSET(Scenarios!$A$87,0,$C$1),(52*V$91-OFFSET(Scenarios!$A$87,0,$C$1))*OFFSET(Scenarios!$A$91,0,$C$1)+OFFSET(Scenarios!$A$87,0,$C$1)*OFFSET(Scenarios!$A$90,0,$C$1),52*V$91*OFFSET(Scenarios!$A$90,0,$C$1))))-52*V$91*OFFSET(Scenarios!$A$94,0,$C$1))/52,U$92*V$91/U$91)</f>
        <v>1172.240996651956</v>
      </c>
      <c r="W92" s="170">
        <f ca="1">IF(AND(OFFSET(Scenarios!$A$23,0,$C$1)="YES",OFFSET(Scenarios!$A$25,0,$C$1)&gt;=W$4),(52*W$91-IF(52*W$91&gt;OFFSET(Scenarios!$A$89,0,$C$1),(52*W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W$91&gt;OFFSET(Scenarios!$A$88,0,$C$1),(52*W$91-OFFSET(Scenarios!$A$88,0,$C$1))*OFFSET(Scenarios!$A$92,0,$C$1)+(OFFSET(Scenarios!$A$88,0,$C$1)-OFFSET(Scenarios!$A$87,0,$C$1))*OFFSET(Scenarios!$A$91,0,$C$1)+OFFSET(Scenarios!$A$87,0,$C$1)*OFFSET(Scenarios!$A$90,0,$C$1),IF(52*W$91&gt;OFFSET(Scenarios!$A$87,0,$C$1),(52*W$91-OFFSET(Scenarios!$A$87,0,$C$1))*OFFSET(Scenarios!$A$91,0,$C$1)+OFFSET(Scenarios!$A$87,0,$C$1)*OFFSET(Scenarios!$A$90,0,$C$1),52*W$91*OFFSET(Scenarios!$A$90,0,$C$1))))-52*W$91*OFFSET(Scenarios!$A$94,0,$C$1))/52,V$92*W$91/V$91)</f>
        <v>1213.6211038337701</v>
      </c>
      <c r="X92" s="170">
        <f ca="1">IF(AND(OFFSET(Scenarios!$A$23,0,$C$1)="YES",OFFSET(Scenarios!$A$25,0,$C$1)&gt;=X$4),(52*X$91-IF(52*X$91&gt;OFFSET(Scenarios!$A$89,0,$C$1),(52*X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X$91&gt;OFFSET(Scenarios!$A$88,0,$C$1),(52*X$91-OFFSET(Scenarios!$A$88,0,$C$1))*OFFSET(Scenarios!$A$92,0,$C$1)+(OFFSET(Scenarios!$A$88,0,$C$1)-OFFSET(Scenarios!$A$87,0,$C$1))*OFFSET(Scenarios!$A$91,0,$C$1)+OFFSET(Scenarios!$A$87,0,$C$1)*OFFSET(Scenarios!$A$90,0,$C$1),IF(52*X$91&gt;OFFSET(Scenarios!$A$87,0,$C$1),(52*X$91-OFFSET(Scenarios!$A$87,0,$C$1))*OFFSET(Scenarios!$A$91,0,$C$1)+OFFSET(Scenarios!$A$87,0,$C$1)*OFFSET(Scenarios!$A$90,0,$C$1),52*X$91*OFFSET(Scenarios!$A$90,0,$C$1))))-52*X$91*OFFSET(Scenarios!$A$94,0,$C$1))/52,W$92*X$91/W$91)</f>
        <v>1256.461928799102</v>
      </c>
    </row>
    <row r="93" spans="1:24" x14ac:dyDescent="0.2">
      <c r="A93" s="220" t="s">
        <v>689</v>
      </c>
      <c r="B93" s="228"/>
      <c r="C93" s="69"/>
      <c r="D93" s="175">
        <f>Data!C$223</f>
        <v>213.12</v>
      </c>
      <c r="E93" s="175">
        <f>Data!D$223</f>
        <v>219.9</v>
      </c>
      <c r="F93" s="175">
        <f>Data!E$223</f>
        <v>239.19</v>
      </c>
      <c r="G93" s="175">
        <f>Data!F$223</f>
        <v>244.71</v>
      </c>
      <c r="H93" s="175">
        <f>Data!G$223</f>
        <v>261.48</v>
      </c>
      <c r="I93" s="175">
        <f>Data!H$223</f>
        <v>268.39999999999998</v>
      </c>
      <c r="J93" s="284">
        <f ca="1">IF(OR($F$1="Yes",$O$1="Yes"),OFFSET('Forecast Adjuster'!$A$60,0,J$289),Data!I$223)</f>
        <v>274.94</v>
      </c>
      <c r="K93" s="284">
        <f ca="1">IF(OR($F$1="Yes",$O$1="Yes"),OFFSET('Forecast Adjuster'!$A$60,0,K$289),Data!J$223)</f>
        <v>281.18</v>
      </c>
      <c r="L93" s="284">
        <f ca="1">IF(OR($F$1="Yes",$O$1="Yes"),OFFSET('Forecast Adjuster'!$A$60,0,L$289),Data!K$223)</f>
        <v>285.95999999999998</v>
      </c>
      <c r="M93" s="284">
        <f ca="1">IF(OR($F$1="Yes",$O$1="Yes"),OFFSET('Forecast Adjuster'!$A$60,0,M$289),Data!L$223)</f>
        <v>291.18</v>
      </c>
      <c r="N93" s="284">
        <f ca="1">IF(OR($F$1="Yes",$O$1="Yes"),OFFSET('Forecast Adjuster'!$A$60,0,N$289),Data!M$223)</f>
        <v>299.06</v>
      </c>
      <c r="O93" s="170">
        <f ca="1">IF(OFFSET(Scenarios!$A$52,0,$C$1)="Yes", IF(2*N$93*(1+O$247)/O$92 &gt; OFFSET(Scenarios!$A$53,0,$C$1), N$93*(1+O$247), O$92*OFFSET(Scenarios!$A$53,0,$C$1)/2), N$93*(1+O$247))</f>
        <v>305.15546912869701</v>
      </c>
      <c r="P93" s="170">
        <f ca="1">IF(OFFSET(Scenarios!$A$52,0,$C$1)="Yes", IF(2*O$93*(1+P$247)/P$92 &gt; OFFSET(Scenarios!$A$53,0,$C$1), O$93*(1+P$247), P$92*OFFSET(Scenarios!$A$53,0,$C$1)/2), O$93*(1+P$247))</f>
        <v>311.25857851127097</v>
      </c>
      <c r="Q93" s="170">
        <f ca="1">IF(OFFSET(Scenarios!$A$52,0,$C$1)="Yes", IF(2*P$93*(1+Q$247)/Q$92 &gt; OFFSET(Scenarios!$A$53,0,$C$1), P$93*(1+Q$247), Q$92*OFFSET(Scenarios!$A$53,0,$C$1)/2), P$93*(1+Q$247))</f>
        <v>320.30904069879057</v>
      </c>
      <c r="R93" s="170">
        <f ca="1">IF(OFFSET(Scenarios!$A$52,0,$C$1)="Yes", IF(2*Q$93*(1+R$247)/R$92 &gt; OFFSET(Scenarios!$A$53,0,$C$1), Q$93*(1+R$247), R$92*OFFSET(Scenarios!$A$53,0,$C$1)/2), Q$93*(1+R$247))</f>
        <v>331.61594983545785</v>
      </c>
      <c r="S93" s="170">
        <f ca="1">IF(OFFSET(Scenarios!$A$52,0,$C$1)="Yes", IF(2*R$93*(1+S$247)/S$92 &gt; OFFSET(Scenarios!$A$53,0,$C$1), R$93*(1+S$247), S$92*OFFSET(Scenarios!$A$53,0,$C$1)/2), R$93*(1+S$247))</f>
        <v>343.32199286464953</v>
      </c>
      <c r="T93" s="170">
        <f ca="1">IF(OFFSET(Scenarios!$A$52,0,$C$1)="Yes", IF(2*S$93*(1+T$247)/T$92 &gt; OFFSET(Scenarios!$A$53,0,$C$1), S$93*(1+T$247), T$92*OFFSET(Scenarios!$A$53,0,$C$1)/2), S$93*(1+T$247))</f>
        <v>355.44125921277163</v>
      </c>
      <c r="U93" s="170">
        <f ca="1">IF(OFFSET(Scenarios!$A$52,0,$C$1)="Yes", IF(2*T$93*(1+U$247)/U$92 &gt; OFFSET(Scenarios!$A$53,0,$C$1), T$93*(1+U$247), U$92*OFFSET(Scenarios!$A$53,0,$C$1)/2), T$93*(1+U$247))</f>
        <v>367.98833566298242</v>
      </c>
      <c r="V93" s="170">
        <f ca="1">IF(OFFSET(Scenarios!$A$52,0,$C$1)="Yes", IF(2*U$93*(1+V$247)/V$92 &gt; OFFSET(Scenarios!$A$53,0,$C$1), U$93*(1+V$247), V$92*OFFSET(Scenarios!$A$53,0,$C$1)/2), U$93*(1+V$247))</f>
        <v>380.97832391188575</v>
      </c>
      <c r="W93" s="170">
        <f ca="1">IF(OFFSET(Scenarios!$A$52,0,$C$1)="Yes", IF(2*V$93*(1+W$247)/W$92 &gt; OFFSET(Scenarios!$A$53,0,$C$1), V$93*(1+W$247), W$92*OFFSET(Scenarios!$A$53,0,$C$1)/2), V$93*(1+W$247))</f>
        <v>394.42685874597532</v>
      </c>
      <c r="X93" s="170">
        <f ca="1">IF(OFFSET(Scenarios!$A$52,0,$C$1)="Yes", IF(2*W$93*(1+X$247)/X$92 &gt; OFFSET(Scenarios!$A$53,0,$C$1), W$93*(1+X$247), X$92*OFFSET(Scenarios!$A$53,0,$C$1)/2), W$93*(1+X$247))</f>
        <v>408.35012685970815</v>
      </c>
    </row>
    <row r="94" spans="1:24" x14ac:dyDescent="0.2">
      <c r="A94" s="220" t="s">
        <v>870</v>
      </c>
      <c r="B94" s="228"/>
      <c r="C94" s="69"/>
      <c r="D94" s="175">
        <f>Data!C$224</f>
        <v>255.7</v>
      </c>
      <c r="E94" s="175">
        <f>Data!D$224</f>
        <v>264.37</v>
      </c>
      <c r="F94" s="175">
        <f>Data!E$224</f>
        <v>273.63</v>
      </c>
      <c r="G94" s="175">
        <f>Data!F$224</f>
        <v>280.62</v>
      </c>
      <c r="H94" s="175">
        <f>Data!G$224</f>
        <v>294.08</v>
      </c>
      <c r="I94" s="175">
        <f>Data!H$224</f>
        <v>302.39999999999998</v>
      </c>
      <c r="J94" s="284">
        <f ca="1">IF(OR($F$1="Yes",$O$1="Yes"),OFFSET('Forecast Adjuster'!$A$61,0,J$289),Data!I$224)</f>
        <v>310.33999999999997</v>
      </c>
      <c r="K94" s="284">
        <f ca="1">IF(OR($F$1="Yes",$O$1="Yes"),OFFSET('Forecast Adjuster'!$A$61,0,K$289),Data!J$224)</f>
        <v>317.8</v>
      </c>
      <c r="L94" s="284">
        <f ca="1">IF(OR($F$1="Yes",$O$1="Yes"),OFFSET('Forecast Adjuster'!$A$61,0,L$289),Data!K$224)</f>
        <v>323.63</v>
      </c>
      <c r="M94" s="284">
        <f ca="1">IF(OR($F$1="Yes",$O$1="Yes"),OFFSET('Forecast Adjuster'!$A$61,0,M$289),Data!L$224)</f>
        <v>330.08</v>
      </c>
      <c r="N94" s="284">
        <f ca="1">IF(OR($F$1="Yes",$O$1="Yes"),OFFSET('Forecast Adjuster'!$A$61,0,N$289),Data!M$224)</f>
        <v>339.53</v>
      </c>
      <c r="O94" s="345">
        <f ca="1">IF(AND(OFFSET(Scenarios!$A$23,0,$C$1)="Yes",O$4&lt;=OFFSET(Scenarios!$A$25,0,$C$1)),IF(52*O$93&gt;(OFFSET(Scenarios!$A$89,0,$C$1)*(1-OFFSET(Scenarios!$A$92,0,$C$1))+OFFSET(Scenarios!$A$88,0,$C$1)*(OFFSET(Scenarios!$A$92,0,$C$1)-OFFSET(Scenarios!$A$91,0,$C$1))+OFFSET(Scenarios!$A$87,0,$C$1)*(OFFSET(Scenarios!$A$91,0,$C$1)-OFFSET(Scenarios!$A$90,0,$C$1))),(52*O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O$93&gt;(OFFSET(Scenarios!$A$88,0,$C$1)*(1-OFFSET(Scenarios!$A$91,0,$C$1))+OFFSET(Scenarios!$A$87,0,$C$1)*(OFFSET(Scenarios!$A$91,0,$C$1)-OFFSET(Scenarios!$A$90,0,$C$1))),(52*O$93-OFFSET(Scenarios!$A$88,0,$C$1)*OFFSET(Scenarios!$A$92,0,$C$1)+OFFSET(Scenarios!$A$88,0,$C$1)*OFFSET(Scenarios!$A$91,0,$C$1)-OFFSET(Scenarios!$A$87,0,$C$1)*(OFFSET(Scenarios!$A$91,0,$C$1)-OFFSET(Scenarios!$A$90,0,$C$1)))/(1-OFFSET(Scenarios!$A$92,0,$C$1)),IF(52*O$93&gt;(OFFSET(Scenarios!$A$87,0,$C$1)*(1-OFFSET(Scenarios!$A$90,0,$C$1))),(52*O$93-OFFSET(Scenarios!$A$87,0,$C$1)*OFFSET(Scenarios!$A$91,0,$C$1)+OFFSET(Scenarios!$A$87,0,$C$1)*OFFSET(Scenarios!$A$90,0,$C$1))/(1-OFFSET(Scenarios!$A$91,0,$C$1)),IF(52*O$93&gt;0,52*O$93/(1-OFFSET(Scenarios!$A$90,0,$C$1)),0))))/52,N$94*O$93/N$93)</f>
        <v>347.04159428187052</v>
      </c>
      <c r="P94" s="345">
        <f ca="1">IF(AND(OFFSET(Scenarios!$A$23,0,$C$1)="Yes",P$4&lt;=OFFSET(Scenarios!$A$25,0,$C$1)),IF(52*P$93&gt;(OFFSET(Scenarios!$A$89,0,$C$1)*(1-OFFSET(Scenarios!$A$92,0,$C$1))+OFFSET(Scenarios!$A$88,0,$C$1)*(OFFSET(Scenarios!$A$92,0,$C$1)-OFFSET(Scenarios!$A$91,0,$C$1))+OFFSET(Scenarios!$A$87,0,$C$1)*(OFFSET(Scenarios!$A$91,0,$C$1)-OFFSET(Scenarios!$A$90,0,$C$1))),(52*P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P$93&gt;(OFFSET(Scenarios!$A$88,0,$C$1)*(1-OFFSET(Scenarios!$A$91,0,$C$1))+OFFSET(Scenarios!$A$87,0,$C$1)*(OFFSET(Scenarios!$A$91,0,$C$1)-OFFSET(Scenarios!$A$90,0,$C$1))),(52*P$93-OFFSET(Scenarios!$A$88,0,$C$1)*OFFSET(Scenarios!$A$92,0,$C$1)+OFFSET(Scenarios!$A$88,0,$C$1)*OFFSET(Scenarios!$A$91,0,$C$1)-OFFSET(Scenarios!$A$87,0,$C$1)*(OFFSET(Scenarios!$A$91,0,$C$1)-OFFSET(Scenarios!$A$90,0,$C$1)))/(1-OFFSET(Scenarios!$A$92,0,$C$1)),IF(52*P$93&gt;(OFFSET(Scenarios!$A$87,0,$C$1)*(1-OFFSET(Scenarios!$A$90,0,$C$1))),(52*P$93-OFFSET(Scenarios!$A$87,0,$C$1)*OFFSET(Scenarios!$A$91,0,$C$1)+OFFSET(Scenarios!$A$87,0,$C$1)*OFFSET(Scenarios!$A$90,0,$C$1))/(1-OFFSET(Scenarios!$A$91,0,$C$1)),IF(52*P$93&gt;0,52*P$93/(1-OFFSET(Scenarios!$A$90,0,$C$1)),0))))/52,O$94*P$93/O$93)</f>
        <v>354.43930262438437</v>
      </c>
      <c r="Q94" s="345">
        <f ca="1">IF(AND(OFFSET(Scenarios!$A$23,0,$C$1)="Yes",Q$4&lt;=OFFSET(Scenarios!$A$25,0,$C$1)),IF(52*Q$93&gt;(OFFSET(Scenarios!$A$89,0,$C$1)*(1-OFFSET(Scenarios!$A$92,0,$C$1))+OFFSET(Scenarios!$A$88,0,$C$1)*(OFFSET(Scenarios!$A$92,0,$C$1)-OFFSET(Scenarios!$A$91,0,$C$1))+OFFSET(Scenarios!$A$87,0,$C$1)*(OFFSET(Scenarios!$A$91,0,$C$1)-OFFSET(Scenarios!$A$90,0,$C$1))),(52*Q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Q$93&gt;(OFFSET(Scenarios!$A$88,0,$C$1)*(1-OFFSET(Scenarios!$A$91,0,$C$1))+OFFSET(Scenarios!$A$87,0,$C$1)*(OFFSET(Scenarios!$A$91,0,$C$1)-OFFSET(Scenarios!$A$90,0,$C$1))),(52*Q$93-OFFSET(Scenarios!$A$88,0,$C$1)*OFFSET(Scenarios!$A$92,0,$C$1)+OFFSET(Scenarios!$A$88,0,$C$1)*OFFSET(Scenarios!$A$91,0,$C$1)-OFFSET(Scenarios!$A$87,0,$C$1)*(OFFSET(Scenarios!$A$91,0,$C$1)-OFFSET(Scenarios!$A$90,0,$C$1)))/(1-OFFSET(Scenarios!$A$92,0,$C$1)),IF(52*Q$93&gt;(OFFSET(Scenarios!$A$87,0,$C$1)*(1-OFFSET(Scenarios!$A$90,0,$C$1))),(52*Q$93-OFFSET(Scenarios!$A$87,0,$C$1)*OFFSET(Scenarios!$A$91,0,$C$1)+OFFSET(Scenarios!$A$87,0,$C$1)*OFFSET(Scenarios!$A$90,0,$C$1))/(1-OFFSET(Scenarios!$A$91,0,$C$1)),IF(52*Q$93&gt;0,52*Q$93/(1-OFFSET(Scenarios!$A$90,0,$C$1)),0))))/52,P$94*Q$93/P$93)</f>
        <v>365.4095598213778</v>
      </c>
      <c r="R94" s="345">
        <f ca="1">IF(AND(OFFSET(Scenarios!$A$23,0,$C$1)="Yes",R$4&lt;=OFFSET(Scenarios!$A$25,0,$C$1)),IF(52*R$93&gt;(OFFSET(Scenarios!$A$89,0,$C$1)*(1-OFFSET(Scenarios!$A$92,0,$C$1))+OFFSET(Scenarios!$A$88,0,$C$1)*(OFFSET(Scenarios!$A$92,0,$C$1)-OFFSET(Scenarios!$A$91,0,$C$1))+OFFSET(Scenarios!$A$87,0,$C$1)*(OFFSET(Scenarios!$A$91,0,$C$1)-OFFSET(Scenarios!$A$90,0,$C$1))),(52*R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R$93&gt;(OFFSET(Scenarios!$A$88,0,$C$1)*(1-OFFSET(Scenarios!$A$91,0,$C$1))+OFFSET(Scenarios!$A$87,0,$C$1)*(OFFSET(Scenarios!$A$91,0,$C$1)-OFFSET(Scenarios!$A$90,0,$C$1))),(52*R$93-OFFSET(Scenarios!$A$88,0,$C$1)*OFFSET(Scenarios!$A$92,0,$C$1)+OFFSET(Scenarios!$A$88,0,$C$1)*OFFSET(Scenarios!$A$91,0,$C$1)-OFFSET(Scenarios!$A$87,0,$C$1)*(OFFSET(Scenarios!$A$91,0,$C$1)-OFFSET(Scenarios!$A$90,0,$C$1)))/(1-OFFSET(Scenarios!$A$92,0,$C$1)),IF(52*R$93&gt;(OFFSET(Scenarios!$A$87,0,$C$1)*(1-OFFSET(Scenarios!$A$90,0,$C$1))),(52*R$93-OFFSET(Scenarios!$A$87,0,$C$1)*OFFSET(Scenarios!$A$91,0,$C$1)+OFFSET(Scenarios!$A$87,0,$C$1)*OFFSET(Scenarios!$A$90,0,$C$1))/(1-OFFSET(Scenarios!$A$91,0,$C$1)),IF(52*R$93&gt;0,52*R$93/(1-OFFSET(Scenarios!$A$90,0,$C$1)),0))))/52,Q$94*R$93/Q$93)</f>
        <v>378.30851728307243</v>
      </c>
      <c r="S94" s="345">
        <f ca="1">IF(AND(OFFSET(Scenarios!$A$23,0,$C$1)="Yes",S$4&lt;=OFFSET(Scenarios!$A$25,0,$C$1)),IF(52*S$93&gt;(OFFSET(Scenarios!$A$89,0,$C$1)*(1-OFFSET(Scenarios!$A$92,0,$C$1))+OFFSET(Scenarios!$A$88,0,$C$1)*(OFFSET(Scenarios!$A$92,0,$C$1)-OFFSET(Scenarios!$A$91,0,$C$1))+OFFSET(Scenarios!$A$87,0,$C$1)*(OFFSET(Scenarios!$A$91,0,$C$1)-OFFSET(Scenarios!$A$90,0,$C$1))),(52*S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S$93&gt;(OFFSET(Scenarios!$A$88,0,$C$1)*(1-OFFSET(Scenarios!$A$91,0,$C$1))+OFFSET(Scenarios!$A$87,0,$C$1)*(OFFSET(Scenarios!$A$91,0,$C$1)-OFFSET(Scenarios!$A$90,0,$C$1))),(52*S$93-OFFSET(Scenarios!$A$88,0,$C$1)*OFFSET(Scenarios!$A$92,0,$C$1)+OFFSET(Scenarios!$A$88,0,$C$1)*OFFSET(Scenarios!$A$91,0,$C$1)-OFFSET(Scenarios!$A$87,0,$C$1)*(OFFSET(Scenarios!$A$91,0,$C$1)-OFFSET(Scenarios!$A$90,0,$C$1)))/(1-OFFSET(Scenarios!$A$92,0,$C$1)),IF(52*S$93&gt;(OFFSET(Scenarios!$A$87,0,$C$1)*(1-OFFSET(Scenarios!$A$90,0,$C$1))),(52*S$93-OFFSET(Scenarios!$A$87,0,$C$1)*OFFSET(Scenarios!$A$91,0,$C$1)+OFFSET(Scenarios!$A$87,0,$C$1)*OFFSET(Scenarios!$A$90,0,$C$1))/(1-OFFSET(Scenarios!$A$91,0,$C$1)),IF(52*S$93&gt;0,52*S$93/(1-OFFSET(Scenarios!$A$90,0,$C$1)),0))))/52,R$94*S$93/R$93)</f>
        <v>391.66280794316492</v>
      </c>
      <c r="T94" s="345">
        <f ca="1">IF(AND(OFFSET(Scenarios!$A$23,0,$C$1)="Yes",T$4&lt;=OFFSET(Scenarios!$A$25,0,$C$1)),IF(52*T$93&gt;(OFFSET(Scenarios!$A$89,0,$C$1)*(1-OFFSET(Scenarios!$A$92,0,$C$1))+OFFSET(Scenarios!$A$88,0,$C$1)*(OFFSET(Scenarios!$A$92,0,$C$1)-OFFSET(Scenarios!$A$91,0,$C$1))+OFFSET(Scenarios!$A$87,0,$C$1)*(OFFSET(Scenarios!$A$91,0,$C$1)-OFFSET(Scenarios!$A$90,0,$C$1))),(52*T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T$93&gt;(OFFSET(Scenarios!$A$88,0,$C$1)*(1-OFFSET(Scenarios!$A$91,0,$C$1))+OFFSET(Scenarios!$A$87,0,$C$1)*(OFFSET(Scenarios!$A$91,0,$C$1)-OFFSET(Scenarios!$A$90,0,$C$1))),(52*T$93-OFFSET(Scenarios!$A$88,0,$C$1)*OFFSET(Scenarios!$A$92,0,$C$1)+OFFSET(Scenarios!$A$88,0,$C$1)*OFFSET(Scenarios!$A$91,0,$C$1)-OFFSET(Scenarios!$A$87,0,$C$1)*(OFFSET(Scenarios!$A$91,0,$C$1)-OFFSET(Scenarios!$A$90,0,$C$1)))/(1-OFFSET(Scenarios!$A$92,0,$C$1)),IF(52*T$93&gt;(OFFSET(Scenarios!$A$87,0,$C$1)*(1-OFFSET(Scenarios!$A$90,0,$C$1))),(52*T$93-OFFSET(Scenarios!$A$87,0,$C$1)*OFFSET(Scenarios!$A$91,0,$C$1)+OFFSET(Scenarios!$A$87,0,$C$1)*OFFSET(Scenarios!$A$90,0,$C$1))/(1-OFFSET(Scenarios!$A$91,0,$C$1)),IF(52*T$93&gt;0,52*T$93/(1-OFFSET(Scenarios!$A$90,0,$C$1)),0))))/52,S$94*T$93/S$93)</f>
        <v>405.48850506355859</v>
      </c>
      <c r="U94" s="345">
        <f ca="1">IF(AND(OFFSET(Scenarios!$A$23,0,$C$1)="Yes",U$4&lt;=OFFSET(Scenarios!$A$25,0,$C$1)),IF(52*U$93&gt;(OFFSET(Scenarios!$A$89,0,$C$1)*(1-OFFSET(Scenarios!$A$92,0,$C$1))+OFFSET(Scenarios!$A$88,0,$C$1)*(OFFSET(Scenarios!$A$92,0,$C$1)-OFFSET(Scenarios!$A$91,0,$C$1))+OFFSET(Scenarios!$A$87,0,$C$1)*(OFFSET(Scenarios!$A$91,0,$C$1)-OFFSET(Scenarios!$A$90,0,$C$1))),(52*U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U$93&gt;(OFFSET(Scenarios!$A$88,0,$C$1)*(1-OFFSET(Scenarios!$A$91,0,$C$1))+OFFSET(Scenarios!$A$87,0,$C$1)*(OFFSET(Scenarios!$A$91,0,$C$1)-OFFSET(Scenarios!$A$90,0,$C$1))),(52*U$93-OFFSET(Scenarios!$A$88,0,$C$1)*OFFSET(Scenarios!$A$92,0,$C$1)+OFFSET(Scenarios!$A$88,0,$C$1)*OFFSET(Scenarios!$A$91,0,$C$1)-OFFSET(Scenarios!$A$87,0,$C$1)*(OFFSET(Scenarios!$A$91,0,$C$1)-OFFSET(Scenarios!$A$90,0,$C$1)))/(1-OFFSET(Scenarios!$A$92,0,$C$1)),IF(52*U$93&gt;(OFFSET(Scenarios!$A$87,0,$C$1)*(1-OFFSET(Scenarios!$A$90,0,$C$1))),(52*U$93-OFFSET(Scenarios!$A$87,0,$C$1)*OFFSET(Scenarios!$A$91,0,$C$1)+OFFSET(Scenarios!$A$87,0,$C$1)*OFFSET(Scenarios!$A$90,0,$C$1))/(1-OFFSET(Scenarios!$A$91,0,$C$1)),IF(52*U$93&gt;0,52*U$93/(1-OFFSET(Scenarios!$A$90,0,$C$1)),0))))/52,T$94*U$93/T$93)</f>
        <v>419.80224929230212</v>
      </c>
      <c r="V94" s="345">
        <f ca="1">IF(AND(OFFSET(Scenarios!$A$23,0,$C$1)="Yes",V$4&lt;=OFFSET(Scenarios!$A$25,0,$C$1)),IF(52*V$93&gt;(OFFSET(Scenarios!$A$89,0,$C$1)*(1-OFFSET(Scenarios!$A$92,0,$C$1))+OFFSET(Scenarios!$A$88,0,$C$1)*(OFFSET(Scenarios!$A$92,0,$C$1)-OFFSET(Scenarios!$A$91,0,$C$1))+OFFSET(Scenarios!$A$87,0,$C$1)*(OFFSET(Scenarios!$A$91,0,$C$1)-OFFSET(Scenarios!$A$90,0,$C$1))),(52*V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V$93&gt;(OFFSET(Scenarios!$A$88,0,$C$1)*(1-OFFSET(Scenarios!$A$91,0,$C$1))+OFFSET(Scenarios!$A$87,0,$C$1)*(OFFSET(Scenarios!$A$91,0,$C$1)-OFFSET(Scenarios!$A$90,0,$C$1))),(52*V$93-OFFSET(Scenarios!$A$88,0,$C$1)*OFFSET(Scenarios!$A$92,0,$C$1)+OFFSET(Scenarios!$A$88,0,$C$1)*OFFSET(Scenarios!$A$91,0,$C$1)-OFFSET(Scenarios!$A$87,0,$C$1)*(OFFSET(Scenarios!$A$91,0,$C$1)-OFFSET(Scenarios!$A$90,0,$C$1)))/(1-OFFSET(Scenarios!$A$92,0,$C$1)),IF(52*V$93&gt;(OFFSET(Scenarios!$A$87,0,$C$1)*(1-OFFSET(Scenarios!$A$90,0,$C$1))),(52*V$93-OFFSET(Scenarios!$A$87,0,$C$1)*OFFSET(Scenarios!$A$91,0,$C$1)+OFFSET(Scenarios!$A$87,0,$C$1)*OFFSET(Scenarios!$A$90,0,$C$1))/(1-OFFSET(Scenarios!$A$91,0,$C$1)),IF(52*V$93&gt;0,52*V$93/(1-OFFSET(Scenarios!$A$90,0,$C$1)),0))))/52,U$94*V$93/U$93)</f>
        <v>434.62126869232048</v>
      </c>
      <c r="W94" s="345">
        <f ca="1">IF(AND(OFFSET(Scenarios!$A$23,0,$C$1)="Yes",W$4&lt;=OFFSET(Scenarios!$A$25,0,$C$1)),IF(52*W$93&gt;(OFFSET(Scenarios!$A$89,0,$C$1)*(1-OFFSET(Scenarios!$A$92,0,$C$1))+OFFSET(Scenarios!$A$88,0,$C$1)*(OFFSET(Scenarios!$A$92,0,$C$1)-OFFSET(Scenarios!$A$91,0,$C$1))+OFFSET(Scenarios!$A$87,0,$C$1)*(OFFSET(Scenarios!$A$91,0,$C$1)-OFFSET(Scenarios!$A$90,0,$C$1))),(52*W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W$93&gt;(OFFSET(Scenarios!$A$88,0,$C$1)*(1-OFFSET(Scenarios!$A$91,0,$C$1))+OFFSET(Scenarios!$A$87,0,$C$1)*(OFFSET(Scenarios!$A$91,0,$C$1)-OFFSET(Scenarios!$A$90,0,$C$1))),(52*W$93-OFFSET(Scenarios!$A$88,0,$C$1)*OFFSET(Scenarios!$A$92,0,$C$1)+OFFSET(Scenarios!$A$88,0,$C$1)*OFFSET(Scenarios!$A$91,0,$C$1)-OFFSET(Scenarios!$A$87,0,$C$1)*(OFFSET(Scenarios!$A$91,0,$C$1)-OFFSET(Scenarios!$A$90,0,$C$1)))/(1-OFFSET(Scenarios!$A$92,0,$C$1)),IF(52*W$93&gt;(OFFSET(Scenarios!$A$87,0,$C$1)*(1-OFFSET(Scenarios!$A$90,0,$C$1))),(52*W$93-OFFSET(Scenarios!$A$87,0,$C$1)*OFFSET(Scenarios!$A$91,0,$C$1)+OFFSET(Scenarios!$A$87,0,$C$1)*OFFSET(Scenarios!$A$90,0,$C$1))/(1-OFFSET(Scenarios!$A$91,0,$C$1)),IF(52*W$93&gt;0,52*W$93/(1-OFFSET(Scenarios!$A$90,0,$C$1)),0))))/52,V$94*W$93/V$93)</f>
        <v>449.96339947715944</v>
      </c>
      <c r="X94" s="345">
        <f ca="1">IF(AND(OFFSET(Scenarios!$A$23,0,$C$1)="Yes",X$4&lt;=OFFSET(Scenarios!$A$25,0,$C$1)),IF(52*X$93&gt;(OFFSET(Scenarios!$A$89,0,$C$1)*(1-OFFSET(Scenarios!$A$92,0,$C$1))+OFFSET(Scenarios!$A$88,0,$C$1)*(OFFSET(Scenarios!$A$92,0,$C$1)-OFFSET(Scenarios!$A$91,0,$C$1))+OFFSET(Scenarios!$A$87,0,$C$1)*(OFFSET(Scenarios!$A$91,0,$C$1)-OFFSET(Scenarios!$A$90,0,$C$1))),(52*X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X$93&gt;(OFFSET(Scenarios!$A$88,0,$C$1)*(1-OFFSET(Scenarios!$A$91,0,$C$1))+OFFSET(Scenarios!$A$87,0,$C$1)*(OFFSET(Scenarios!$A$91,0,$C$1)-OFFSET(Scenarios!$A$90,0,$C$1))),(52*X$93-OFFSET(Scenarios!$A$88,0,$C$1)*OFFSET(Scenarios!$A$92,0,$C$1)+OFFSET(Scenarios!$A$88,0,$C$1)*OFFSET(Scenarios!$A$91,0,$C$1)-OFFSET(Scenarios!$A$87,0,$C$1)*(OFFSET(Scenarios!$A$91,0,$C$1)-OFFSET(Scenarios!$A$90,0,$C$1)))/(1-OFFSET(Scenarios!$A$92,0,$C$1)),IF(52*X$93&gt;(OFFSET(Scenarios!$A$87,0,$C$1)*(1-OFFSET(Scenarios!$A$90,0,$C$1))),(52*X$93-OFFSET(Scenarios!$A$87,0,$C$1)*OFFSET(Scenarios!$A$91,0,$C$1)+OFFSET(Scenarios!$A$87,0,$C$1)*OFFSET(Scenarios!$A$90,0,$C$1))/(1-OFFSET(Scenarios!$A$91,0,$C$1)),IF(52*X$93&gt;0,52*X$93/(1-OFFSET(Scenarios!$A$90,0,$C$1)),0))))/52,W$94*X$93/W$93)</f>
        <v>465.84710747870304</v>
      </c>
    </row>
    <row r="95" spans="1:24" x14ac:dyDescent="0.2">
      <c r="A95" s="220" t="s">
        <v>862</v>
      </c>
      <c r="B95" s="228"/>
      <c r="C95" s="69"/>
      <c r="D95" s="69">
        <f>Data!C$225</f>
        <v>5.5419999999999998</v>
      </c>
      <c r="E95" s="69">
        <f>Data!D$225</f>
        <v>5.9660000000000002</v>
      </c>
      <c r="F95" s="69">
        <f>Data!E$225</f>
        <v>6.4550000000000001</v>
      </c>
      <c r="G95" s="69">
        <f>Data!F$225</f>
        <v>6.9630000000000001</v>
      </c>
      <c r="H95" s="69">
        <f>Data!G$225</f>
        <v>7.5609999999999999</v>
      </c>
      <c r="I95" s="69">
        <f>Data!H$225</f>
        <v>8.2379999999999995</v>
      </c>
      <c r="J95" s="123">
        <f ca="1">Data!I$225 + IF($I$1="Yes",OFFSET('Forecast Adjuster'!$A$16,0,J$289)/1000,0)</f>
        <v>8.7739999999999991</v>
      </c>
      <c r="K95" s="123">
        <f ca="1">Data!J$225 + IF($I$1="Yes",OFFSET('Forecast Adjuster'!$A$16,0,K$289)/1000,0)</f>
        <v>9.3119999999999994</v>
      </c>
      <c r="L95" s="123">
        <f ca="1">Data!K$225 + IF($I$1="Yes",OFFSET('Forecast Adjuster'!$A$16,0,L$289)/1000,0)</f>
        <v>9.8010000000000002</v>
      </c>
      <c r="M95" s="123">
        <f ca="1">Data!L$225 + IF($I$1="Yes",OFFSET('Forecast Adjuster'!$A$16,0,M$289)/1000,0)</f>
        <v>10.301</v>
      </c>
      <c r="N95" s="123">
        <f ca="1">Data!M$225 + IF($I$1="Yes",OFFSET('Forecast Adjuster'!$A$16,0,N$289)/1000,0)</f>
        <v>10.804</v>
      </c>
      <c r="O95" s="73">
        <f ca="1">N$95*(1+Popn!O$201)*(3*N$93/M$93+O$93/N$93)/4</f>
        <v>11.429133791306485</v>
      </c>
      <c r="P95" s="73">
        <f ca="1">O$95*(1+Popn!P$201)*(3*O$93/N$93+P$93/O$93)/4</f>
        <v>12.038077999843784</v>
      </c>
      <c r="Q95" s="73">
        <f ca="1">P$95*(1+Popn!Q$201)*(3*P$93/O$93+Q$93/P$93)/4</f>
        <v>12.70359238714188</v>
      </c>
      <c r="R95" s="73">
        <f ca="1">Q$95*(1+Popn!R$201)*(3*Q$93/P$93+R$93/Q$93)/4</f>
        <v>13.526655488671784</v>
      </c>
      <c r="S95" s="73">
        <f ca="1">R$95*(1+Popn!S$201)*(3*R$93/Q$93+S$93/R$93)/4</f>
        <v>14.462392840995257</v>
      </c>
      <c r="T95" s="73">
        <f ca="1">S$95*(1+Popn!T$201)*(3*S$93/R$93+T$93/S$93)/4</f>
        <v>15.450154428860293</v>
      </c>
      <c r="U95" s="73">
        <f ca="1">T$95*(1+Popn!U$201)*(3*T$93/S$93+U$93/T$93)/4</f>
        <v>16.526627734389749</v>
      </c>
      <c r="V95" s="73">
        <f ca="1">U$95*(1+Popn!V$201)*(3*U$93/T$93+V$93/U$93)/4</f>
        <v>17.662678057595542</v>
      </c>
      <c r="W95" s="73">
        <f ca="1">V$95*(1+Popn!W$201)*(3*V$93/U$93+W$93/V$93)/4</f>
        <v>18.890376659157326</v>
      </c>
      <c r="X95" s="73">
        <f ca="1">W$95*(1+Popn!X$201)*(3*W$93/V$93+X$93/W$93)/4</f>
        <v>20.188808755820904</v>
      </c>
    </row>
    <row r="96" spans="1:24" x14ac:dyDescent="0.2">
      <c r="A96" s="106" t="s">
        <v>629</v>
      </c>
      <c r="B96" s="36"/>
      <c r="C96" s="69"/>
      <c r="D96" s="69">
        <f>SUM(SUM(Popn!D$9:D$13)*Tracks!$C$37,SUM(Popn!D$103:D$107)*Tracks!$B$37,SUM(Popn!D$14:D$18)*Tracks!$C$38,SUM(Popn!D$108:D$112)*Tracks!$B$38,SUM(Popn!D$19:D$23)*Tracks!$C$39,SUM(Popn!D$113:D$117)*Tracks!$B$39,SUM(Popn!D$24:D$28)*Tracks!$C$40,SUM(Popn!D$118:D$122)*Tracks!$B$40,SUM(Popn!D$29:D$38)*Tracks!$C$41,SUM(Popn!D$123:D$132)*Tracks!$B$41,SUM(Popn!D$39:D$48)*Tracks!$C$42,SUM(Popn!D$133:D$142)*Tracks!$B$42,SUM(Popn!D$49:D$58)*Tracks!$C$43,SUM(Popn!D$143:D$152)*Tracks!$B$43,SUM(Popn!D$59:D$68)*Tracks!$C$44,SUM(Popn!D$153:D$162)*Tracks!$B$44,SUM(Popn!D$69:D$73)*Tracks!$C$45,SUM(Popn!D$163:D$167)*Tracks!$B$45,SUM(Popn!D$74:D$99)*Tracks!$C$46,SUM(Popn!D$168:D$193)*Tracks!$B$46)/1000000000</f>
        <v>4.6001840191481467</v>
      </c>
      <c r="E96" s="69">
        <f>SUM(SUM(Popn!E$9:E$13)*Tracks!$C$37,SUM(Popn!E$103:E$107)*Tracks!$B$37,SUM(Popn!E$14:E$18)*Tracks!$C$38,SUM(Popn!E$108:E$112)*Tracks!$B$38,SUM(Popn!E$19:E$23)*Tracks!$C$39,SUM(Popn!E$113:E$117)*Tracks!$B$39,SUM(Popn!E$24:E$28)*Tracks!$C$40,SUM(Popn!E$118:E$122)*Tracks!$B$40,SUM(Popn!E$29:E$38)*Tracks!$C$41,SUM(Popn!E$123:E$132)*Tracks!$B$41,SUM(Popn!E$39:E$48)*Tracks!$C$42,SUM(Popn!E$133:E$142)*Tracks!$B$42,SUM(Popn!E$49:E$58)*Tracks!$C$43,SUM(Popn!E$143:E$152)*Tracks!$B$43,SUM(Popn!E$59:E$68)*Tracks!$C$44,SUM(Popn!E$153:E$162)*Tracks!$B$44,SUM(Popn!E$69:E$73)*Tracks!$C$45,SUM(Popn!E$163:E$167)*Tracks!$B$45,SUM(Popn!E$74:E$99)*Tracks!$C$46,SUM(Popn!E$168:E$193)*Tracks!$B$46)/1000000000</f>
        <v>4.6561307828092415</v>
      </c>
      <c r="F96" s="69">
        <f>SUM(SUM(Popn!F$9:F$13)*Tracks!$C$37,SUM(Popn!F$103:F$107)*Tracks!$B$37,SUM(Popn!F$14:F$18)*Tracks!$C$38,SUM(Popn!F$108:F$112)*Tracks!$B$38,SUM(Popn!F$19:F$23)*Tracks!$C$39,SUM(Popn!F$113:F$117)*Tracks!$B$39,SUM(Popn!F$24:F$28)*Tracks!$C$40,SUM(Popn!F$118:F$122)*Tracks!$B$40,SUM(Popn!F$29:F$38)*Tracks!$C$41,SUM(Popn!F$123:F$132)*Tracks!$B$41,SUM(Popn!F$39:F$48)*Tracks!$C$42,SUM(Popn!F$133:F$142)*Tracks!$B$42,SUM(Popn!F$49:F$58)*Tracks!$C$43,SUM(Popn!F$143:F$152)*Tracks!$B$43,SUM(Popn!F$59:F$68)*Tracks!$C$44,SUM(Popn!F$153:F$162)*Tracks!$B$44,SUM(Popn!F$69:F$73)*Tracks!$C$45,SUM(Popn!F$163:F$167)*Tracks!$B$45,SUM(Popn!F$74:F$99)*Tracks!$C$46,SUM(Popn!F$168:F$193)*Tracks!$B$46)/1000000000</f>
        <v>4.716476260389455</v>
      </c>
      <c r="G96" s="69">
        <f>SUM(SUM(Popn!G$9:G$13)*Tracks!$C$37,SUM(Popn!G$103:G$107)*Tracks!$B$37,SUM(Popn!G$14:G$18)*Tracks!$C$38,SUM(Popn!G$108:G$112)*Tracks!$B$38,SUM(Popn!G$19:G$23)*Tracks!$C$39,SUM(Popn!G$113:G$117)*Tracks!$B$39,SUM(Popn!G$24:G$28)*Tracks!$C$40,SUM(Popn!G$118:G$122)*Tracks!$B$40,SUM(Popn!G$29:G$38)*Tracks!$C$41,SUM(Popn!G$123:G$132)*Tracks!$B$41,SUM(Popn!G$39:G$48)*Tracks!$C$42,SUM(Popn!G$133:G$142)*Tracks!$B$42,SUM(Popn!G$49:G$58)*Tracks!$C$43,SUM(Popn!G$143:G$152)*Tracks!$B$43,SUM(Popn!G$59:G$68)*Tracks!$C$44,SUM(Popn!G$153:G$162)*Tracks!$B$44,SUM(Popn!G$69:G$73)*Tracks!$C$45,SUM(Popn!G$163:G$167)*Tracks!$B$45,SUM(Popn!G$74:G$99)*Tracks!$C$46,SUM(Popn!G$168:G$193)*Tracks!$B$46)/1000000000</f>
        <v>4.7802665899396262</v>
      </c>
      <c r="H96" s="69">
        <f>SUM(SUM(Popn!H$9:H$13)*Tracks!$C$37,SUM(Popn!H$103:H$107)*Tracks!$B$37,SUM(Popn!H$14:H$18)*Tracks!$C$38,SUM(Popn!H$108:H$112)*Tracks!$B$38,SUM(Popn!H$19:H$23)*Tracks!$C$39,SUM(Popn!H$113:H$117)*Tracks!$B$39,SUM(Popn!H$24:H$28)*Tracks!$C$40,SUM(Popn!H$118:H$122)*Tracks!$B$40,SUM(Popn!H$29:H$38)*Tracks!$C$41,SUM(Popn!H$123:H$132)*Tracks!$B$41,SUM(Popn!H$39:H$48)*Tracks!$C$42,SUM(Popn!H$133:H$142)*Tracks!$B$42,SUM(Popn!H$49:H$58)*Tracks!$C$43,SUM(Popn!H$143:H$152)*Tracks!$B$43,SUM(Popn!H$59:H$68)*Tracks!$C$44,SUM(Popn!H$153:H$162)*Tracks!$B$44,SUM(Popn!H$69:H$73)*Tracks!$C$45,SUM(Popn!H$163:H$167)*Tracks!$B$45,SUM(Popn!H$74:H$99)*Tracks!$C$46,SUM(Popn!H$168:H$193)*Tracks!$B$46)/1000000000</f>
        <v>4.8310496030539509</v>
      </c>
      <c r="I96" s="69">
        <f>SUM(SUM(Popn!I$9:I$13)*Tracks!$C$37,SUM(Popn!I$103:I$107)*Tracks!$B$37,SUM(Popn!I$14:I$18)*Tracks!$C$38,SUM(Popn!I$108:I$112)*Tracks!$B$38,SUM(Popn!I$19:I$23)*Tracks!$C$39,SUM(Popn!I$113:I$117)*Tracks!$B$39,SUM(Popn!I$24:I$28)*Tracks!$C$40,SUM(Popn!I$118:I$122)*Tracks!$B$40,SUM(Popn!I$29:I$38)*Tracks!$C$41,SUM(Popn!I$123:I$132)*Tracks!$B$41,SUM(Popn!I$39:I$48)*Tracks!$C$42,SUM(Popn!I$133:I$142)*Tracks!$B$42,SUM(Popn!I$49:I$58)*Tracks!$C$43,SUM(Popn!I$143:I$152)*Tracks!$B$43,SUM(Popn!I$59:I$68)*Tracks!$C$44,SUM(Popn!I$153:I$162)*Tracks!$B$44,SUM(Popn!I$69:I$73)*Tracks!$C$45,SUM(Popn!I$163:I$167)*Tracks!$B$45,SUM(Popn!I$74:I$99)*Tracks!$C$46,SUM(Popn!I$168:I$193)*Tracks!$B$46)/1000000000</f>
        <v>4.8668446504595648</v>
      </c>
      <c r="J96" s="103">
        <f>SUM(SUM(Popn!J$9:J$13)*Tracks!$C$37,SUM(Popn!J$103:J$107)*Tracks!$B$37,SUM(Popn!J$14:J$18)*Tracks!$C$38,SUM(Popn!J$108:J$112)*Tracks!$B$38,SUM(Popn!J$19:J$23)*Tracks!$C$39,SUM(Popn!J$113:J$117)*Tracks!$B$39,SUM(Popn!J$24:J$28)*Tracks!$C$40,SUM(Popn!J$118:J$122)*Tracks!$B$40,SUM(Popn!J$29:J$38)*Tracks!$C$41,SUM(Popn!J$123:J$132)*Tracks!$B$41,SUM(Popn!J$39:J$48)*Tracks!$C$42,SUM(Popn!J$133:J$142)*Tracks!$B$42,SUM(Popn!J$49:J$58)*Tracks!$C$43,SUM(Popn!J$143:J$152)*Tracks!$B$43,SUM(Popn!J$59:J$68)*Tracks!$C$44,SUM(Popn!J$153:J$162)*Tracks!$B$44,SUM(Popn!J$69:J$73)*Tracks!$C$45,SUM(Popn!J$163:J$167)*Tracks!$B$45,SUM(Popn!J$74:J$99)*Tracks!$C$46,SUM(Popn!J$168:J$193)*Tracks!$B$46)/1000000000</f>
        <v>4.9054691232775296</v>
      </c>
      <c r="K96" s="103">
        <f>SUM(SUM(Popn!K$9:K$13)*Tracks!$C$37,SUM(Popn!K$103:K$107)*Tracks!$B$37,SUM(Popn!K$14:K$18)*Tracks!$C$38,SUM(Popn!K$108:K$112)*Tracks!$B$38,SUM(Popn!K$19:K$23)*Tracks!$C$39,SUM(Popn!K$113:K$117)*Tracks!$B$39,SUM(Popn!K$24:K$28)*Tracks!$C$40,SUM(Popn!K$118:K$122)*Tracks!$B$40,SUM(Popn!K$29:K$38)*Tracks!$C$41,SUM(Popn!K$123:K$132)*Tracks!$B$41,SUM(Popn!K$39:K$48)*Tracks!$C$42,SUM(Popn!K$133:K$142)*Tracks!$B$42,SUM(Popn!K$49:K$58)*Tracks!$C$43,SUM(Popn!K$143:K$152)*Tracks!$B$43,SUM(Popn!K$59:K$68)*Tracks!$C$44,SUM(Popn!K$153:K$162)*Tracks!$B$44,SUM(Popn!K$69:K$73)*Tracks!$C$45,SUM(Popn!K$163:K$167)*Tracks!$B$45,SUM(Popn!K$74:K$99)*Tracks!$C$46,SUM(Popn!K$168:K$193)*Tracks!$B$46)/1000000000</f>
        <v>4.9498798818934802</v>
      </c>
      <c r="L96" s="103">
        <f>SUM(SUM(Popn!L$9:L$13)*Tracks!$C$37,SUM(Popn!L$103:L$107)*Tracks!$B$37,SUM(Popn!L$14:L$18)*Tracks!$C$38,SUM(Popn!L$108:L$112)*Tracks!$B$38,SUM(Popn!L$19:L$23)*Tracks!$C$39,SUM(Popn!L$113:L$117)*Tracks!$B$39,SUM(Popn!L$24:L$28)*Tracks!$C$40,SUM(Popn!L$118:L$122)*Tracks!$B$40,SUM(Popn!L$29:L$38)*Tracks!$C$41,SUM(Popn!L$123:L$132)*Tracks!$B$41,SUM(Popn!L$39:L$48)*Tracks!$C$42,SUM(Popn!L$133:L$142)*Tracks!$B$42,SUM(Popn!L$49:L$58)*Tracks!$C$43,SUM(Popn!L$143:L$152)*Tracks!$B$43,SUM(Popn!L$59:L$68)*Tracks!$C$44,SUM(Popn!L$153:L$162)*Tracks!$B$44,SUM(Popn!L$69:L$73)*Tracks!$C$45,SUM(Popn!L$163:L$167)*Tracks!$B$45,SUM(Popn!L$74:L$99)*Tracks!$C$46,SUM(Popn!L$168:L$193)*Tracks!$B$46)/1000000000</f>
        <v>4.9978320781983365</v>
      </c>
      <c r="M96" s="103">
        <f>SUM(SUM(Popn!M$9:M$13)*Tracks!$C$37,SUM(Popn!M$103:M$107)*Tracks!$B$37,SUM(Popn!M$14:M$18)*Tracks!$C$38,SUM(Popn!M$108:M$112)*Tracks!$B$38,SUM(Popn!M$19:M$23)*Tracks!$C$39,SUM(Popn!M$113:M$117)*Tracks!$B$39,SUM(Popn!M$24:M$28)*Tracks!$C$40,SUM(Popn!M$118:M$122)*Tracks!$B$40,SUM(Popn!M$29:M$38)*Tracks!$C$41,SUM(Popn!M$123:M$132)*Tracks!$B$41,SUM(Popn!M$39:M$48)*Tracks!$C$42,SUM(Popn!M$133:M$142)*Tracks!$B$42,SUM(Popn!M$49:M$58)*Tracks!$C$43,SUM(Popn!M$143:M$152)*Tracks!$B$43,SUM(Popn!M$59:M$68)*Tracks!$C$44,SUM(Popn!M$153:M$162)*Tracks!$B$44,SUM(Popn!M$69:M$73)*Tracks!$C$45,SUM(Popn!M$163:M$167)*Tracks!$B$45,SUM(Popn!M$74:M$99)*Tracks!$C$46,SUM(Popn!M$168:M$193)*Tracks!$B$46)/1000000000</f>
        <v>5.0451737995606978</v>
      </c>
      <c r="N96" s="103">
        <f>SUM(SUM(Popn!N$9:N$13)*Tracks!$C$37,SUM(Popn!N$103:N$107)*Tracks!$B$37,SUM(Popn!N$14:N$18)*Tracks!$C$38,SUM(Popn!N$108:N$112)*Tracks!$B$38,SUM(Popn!N$19:N$23)*Tracks!$C$39,SUM(Popn!N$113:N$117)*Tracks!$B$39,SUM(Popn!N$24:N$28)*Tracks!$C$40,SUM(Popn!N$118:N$122)*Tracks!$B$40,SUM(Popn!N$29:N$38)*Tracks!$C$41,SUM(Popn!N$123:N$132)*Tracks!$B$41,SUM(Popn!N$39:N$48)*Tracks!$C$42,SUM(Popn!N$133:N$142)*Tracks!$B$42,SUM(Popn!N$49:N$58)*Tracks!$C$43,SUM(Popn!N$143:N$152)*Tracks!$B$43,SUM(Popn!N$59:N$68)*Tracks!$C$44,SUM(Popn!N$153:N$162)*Tracks!$B$44,SUM(Popn!N$69:N$73)*Tracks!$C$45,SUM(Popn!N$163:N$167)*Tracks!$B$45,SUM(Popn!N$74:N$99)*Tracks!$C$46,SUM(Popn!N$168:N$193)*Tracks!$B$46)/1000000000</f>
        <v>5.0907578039356975</v>
      </c>
      <c r="O96" s="73">
        <f>SUM(SUM(Popn!O$9:O$13)*Tracks!$C$37,SUM(Popn!O$103:O$107)*Tracks!$B$37,SUM(Popn!O$14:O$18)*Tracks!$C$38,SUM(Popn!O$108:O$112)*Tracks!$B$38,SUM(Popn!O$19:O$23)*Tracks!$C$39,SUM(Popn!O$113:O$117)*Tracks!$B$39,SUM(Popn!O$24:O$28)*Tracks!$C$40,SUM(Popn!O$118:O$122)*Tracks!$B$40,SUM(Popn!O$29:O$38)*Tracks!$C$41,SUM(Popn!O$123:O$132)*Tracks!$B$41,SUM(Popn!O$39:O$48)*Tracks!$C$42,SUM(Popn!O$133:O$142)*Tracks!$B$42,SUM(Popn!O$49:O$58)*Tracks!$C$43,SUM(Popn!O$143:O$152)*Tracks!$B$43,SUM(Popn!O$59:O$68)*Tracks!$C$44,SUM(Popn!O$153:O$162)*Tracks!$B$44,SUM(Popn!O$69:O$73)*Tracks!$C$45,SUM(Popn!O$163:O$167)*Tracks!$B$45,SUM(Popn!O$74:O$99)*Tracks!$C$46,SUM(Popn!O$168:O$193)*Tracks!$B$46)/1000000000</f>
        <v>5.1369136030481961</v>
      </c>
      <c r="P96" s="73">
        <f>SUM(SUM(Popn!P$9:P$13)*Tracks!$C$37,SUM(Popn!P$103:P$107)*Tracks!$B$37,SUM(Popn!P$14:P$18)*Tracks!$C$38,SUM(Popn!P$108:P$112)*Tracks!$B$38,SUM(Popn!P$19:P$23)*Tracks!$C$39,SUM(Popn!P$113:P$117)*Tracks!$B$39,SUM(Popn!P$24:P$28)*Tracks!$C$40,SUM(Popn!P$118:P$122)*Tracks!$B$40,SUM(Popn!P$29:P$38)*Tracks!$C$41,SUM(Popn!P$123:P$132)*Tracks!$B$41,SUM(Popn!P$39:P$48)*Tracks!$C$42,SUM(Popn!P$133:P$142)*Tracks!$B$42,SUM(Popn!P$49:P$58)*Tracks!$C$43,SUM(Popn!P$143:P$152)*Tracks!$B$43,SUM(Popn!P$59:P$68)*Tracks!$C$44,SUM(Popn!P$153:P$162)*Tracks!$B$44,SUM(Popn!P$69:P$73)*Tracks!$C$45,SUM(Popn!P$163:P$167)*Tracks!$B$45,SUM(Popn!P$74:P$99)*Tracks!$C$46,SUM(Popn!P$168:P$193)*Tracks!$B$46)/1000000000</f>
        <v>5.1833388910048335</v>
      </c>
      <c r="Q96" s="73">
        <f>SUM(SUM(Popn!Q$9:Q$13)*Tracks!$C$37,SUM(Popn!Q$103:Q$107)*Tracks!$B$37,SUM(Popn!Q$14:Q$18)*Tracks!$C$38,SUM(Popn!Q$108:Q$112)*Tracks!$B$38,SUM(Popn!Q$19:Q$23)*Tracks!$C$39,SUM(Popn!Q$113:Q$117)*Tracks!$B$39,SUM(Popn!Q$24:Q$28)*Tracks!$C$40,SUM(Popn!Q$118:Q$122)*Tracks!$B$40,SUM(Popn!Q$29:Q$38)*Tracks!$C$41,SUM(Popn!Q$123:Q$132)*Tracks!$B$41,SUM(Popn!Q$39:Q$48)*Tracks!$C$42,SUM(Popn!Q$133:Q$142)*Tracks!$B$42,SUM(Popn!Q$49:Q$58)*Tracks!$C$43,SUM(Popn!Q$143:Q$152)*Tracks!$B$43,SUM(Popn!Q$59:Q$68)*Tracks!$C$44,SUM(Popn!Q$153:Q$162)*Tracks!$B$44,SUM(Popn!Q$69:Q$73)*Tracks!$C$45,SUM(Popn!Q$163:Q$167)*Tracks!$B$45,SUM(Popn!Q$74:Q$99)*Tracks!$C$46,SUM(Popn!Q$168:Q$193)*Tracks!$B$46)/1000000000</f>
        <v>5.2301521335989749</v>
      </c>
      <c r="R96" s="73">
        <f>SUM(SUM(Popn!R$9:R$13)*Tracks!$C$37,SUM(Popn!R$103:R$107)*Tracks!$B$37,SUM(Popn!R$14:R$18)*Tracks!$C$38,SUM(Popn!R$108:R$112)*Tracks!$B$38,SUM(Popn!R$19:R$23)*Tracks!$C$39,SUM(Popn!R$113:R$117)*Tracks!$B$39,SUM(Popn!R$24:R$28)*Tracks!$C$40,SUM(Popn!R$118:R$122)*Tracks!$B$40,SUM(Popn!R$29:R$38)*Tracks!$C$41,SUM(Popn!R$123:R$132)*Tracks!$B$41,SUM(Popn!R$39:R$48)*Tracks!$C$42,SUM(Popn!R$133:R$142)*Tracks!$B$42,SUM(Popn!R$49:R$58)*Tracks!$C$43,SUM(Popn!R$143:R$152)*Tracks!$B$43,SUM(Popn!R$59:R$68)*Tracks!$C$44,SUM(Popn!R$153:R$162)*Tracks!$B$44,SUM(Popn!R$69:R$73)*Tracks!$C$45,SUM(Popn!R$163:R$167)*Tracks!$B$45,SUM(Popn!R$74:R$99)*Tracks!$C$46,SUM(Popn!R$168:R$193)*Tracks!$B$46)/1000000000</f>
        <v>5.27643153972571</v>
      </c>
      <c r="S96" s="73">
        <f>SUM(SUM(Popn!S$9:S$13)*Tracks!$C$37,SUM(Popn!S$103:S$107)*Tracks!$B$37,SUM(Popn!S$14:S$18)*Tracks!$C$38,SUM(Popn!S$108:S$112)*Tracks!$B$38,SUM(Popn!S$19:S$23)*Tracks!$C$39,SUM(Popn!S$113:S$117)*Tracks!$B$39,SUM(Popn!S$24:S$28)*Tracks!$C$40,SUM(Popn!S$118:S$122)*Tracks!$B$40,SUM(Popn!S$29:S$38)*Tracks!$C$41,SUM(Popn!S$123:S$132)*Tracks!$B$41,SUM(Popn!S$39:S$48)*Tracks!$C$42,SUM(Popn!S$133:S$142)*Tracks!$B$42,SUM(Popn!S$49:S$58)*Tracks!$C$43,SUM(Popn!S$143:S$152)*Tracks!$B$43,SUM(Popn!S$59:S$68)*Tracks!$C$44,SUM(Popn!S$153:S$162)*Tracks!$B$44,SUM(Popn!S$69:S$73)*Tracks!$C$45,SUM(Popn!S$163:S$167)*Tracks!$B$45,SUM(Popn!S$74:S$99)*Tracks!$C$46,SUM(Popn!S$168:S$193)*Tracks!$B$46)/1000000000</f>
        <v>5.3211525649221132</v>
      </c>
      <c r="T96" s="73">
        <f>SUM(SUM(Popn!T$9:T$13)*Tracks!$C$37,SUM(Popn!T$103:T$107)*Tracks!$B$37,SUM(Popn!T$14:T$18)*Tracks!$C$38,SUM(Popn!T$108:T$112)*Tracks!$B$38,SUM(Popn!T$19:T$23)*Tracks!$C$39,SUM(Popn!T$113:T$117)*Tracks!$B$39,SUM(Popn!T$24:T$28)*Tracks!$C$40,SUM(Popn!T$118:T$122)*Tracks!$B$40,SUM(Popn!T$29:T$38)*Tracks!$C$41,SUM(Popn!T$123:T$132)*Tracks!$B$41,SUM(Popn!T$39:T$48)*Tracks!$C$42,SUM(Popn!T$133:T$142)*Tracks!$B$42,SUM(Popn!T$49:T$58)*Tracks!$C$43,SUM(Popn!T$143:T$152)*Tracks!$B$43,SUM(Popn!T$59:T$68)*Tracks!$C$44,SUM(Popn!T$153:T$162)*Tracks!$B$44,SUM(Popn!T$69:T$73)*Tracks!$C$45,SUM(Popn!T$163:T$167)*Tracks!$B$45,SUM(Popn!T$74:T$99)*Tracks!$C$46,SUM(Popn!T$168:T$193)*Tracks!$B$46)/1000000000</f>
        <v>5.3655558031420405</v>
      </c>
      <c r="U96" s="73">
        <f>SUM(SUM(Popn!U$9:U$13)*Tracks!$C$37,SUM(Popn!U$103:U$107)*Tracks!$B$37,SUM(Popn!U$14:U$18)*Tracks!$C$38,SUM(Popn!U$108:U$112)*Tracks!$B$38,SUM(Popn!U$19:U$23)*Tracks!$C$39,SUM(Popn!U$113:U$117)*Tracks!$B$39,SUM(Popn!U$24:U$28)*Tracks!$C$40,SUM(Popn!U$118:U$122)*Tracks!$B$40,SUM(Popn!U$29:U$38)*Tracks!$C$41,SUM(Popn!U$123:U$132)*Tracks!$B$41,SUM(Popn!U$39:U$48)*Tracks!$C$42,SUM(Popn!U$133:U$142)*Tracks!$B$42,SUM(Popn!U$49:U$58)*Tracks!$C$43,SUM(Popn!U$143:U$152)*Tracks!$B$43,SUM(Popn!U$59:U$68)*Tracks!$C$44,SUM(Popn!U$153:U$162)*Tracks!$B$44,SUM(Popn!U$69:U$73)*Tracks!$C$45,SUM(Popn!U$163:U$167)*Tracks!$B$45,SUM(Popn!U$74:U$99)*Tracks!$C$46,SUM(Popn!U$168:U$193)*Tracks!$B$46)/1000000000</f>
        <v>5.4062958383110615</v>
      </c>
      <c r="V96" s="73">
        <f>SUM(SUM(Popn!V$9:V$13)*Tracks!$C$37,SUM(Popn!V$103:V$107)*Tracks!$B$37,SUM(Popn!V$14:V$18)*Tracks!$C$38,SUM(Popn!V$108:V$112)*Tracks!$B$38,SUM(Popn!V$19:V$23)*Tracks!$C$39,SUM(Popn!V$113:V$117)*Tracks!$B$39,SUM(Popn!V$24:V$28)*Tracks!$C$40,SUM(Popn!V$118:V$122)*Tracks!$B$40,SUM(Popn!V$29:V$38)*Tracks!$C$41,SUM(Popn!V$123:V$132)*Tracks!$B$41,SUM(Popn!V$39:V$48)*Tracks!$C$42,SUM(Popn!V$133:V$142)*Tracks!$B$42,SUM(Popn!V$49:V$58)*Tracks!$C$43,SUM(Popn!V$143:V$152)*Tracks!$B$43,SUM(Popn!V$59:V$68)*Tracks!$C$44,SUM(Popn!V$153:V$162)*Tracks!$B$44,SUM(Popn!V$69:V$73)*Tracks!$C$45,SUM(Popn!V$163:V$167)*Tracks!$B$45,SUM(Popn!V$74:V$99)*Tracks!$C$46,SUM(Popn!V$168:V$193)*Tracks!$B$46)/1000000000</f>
        <v>5.4450980153963835</v>
      </c>
      <c r="W96" s="73">
        <f>SUM(SUM(Popn!W$9:W$13)*Tracks!$C$37,SUM(Popn!W$103:W$107)*Tracks!$B$37,SUM(Popn!W$14:W$18)*Tracks!$C$38,SUM(Popn!W$108:W$112)*Tracks!$B$38,SUM(Popn!W$19:W$23)*Tracks!$C$39,SUM(Popn!W$113:W$117)*Tracks!$B$39,SUM(Popn!W$24:W$28)*Tracks!$C$40,SUM(Popn!W$118:W$122)*Tracks!$B$40,SUM(Popn!W$29:W$38)*Tracks!$C$41,SUM(Popn!W$123:W$132)*Tracks!$B$41,SUM(Popn!W$39:W$48)*Tracks!$C$42,SUM(Popn!W$133:W$142)*Tracks!$B$42,SUM(Popn!W$49:W$58)*Tracks!$C$43,SUM(Popn!W$143:W$152)*Tracks!$B$43,SUM(Popn!W$59:W$68)*Tracks!$C$44,SUM(Popn!W$153:W$162)*Tracks!$B$44,SUM(Popn!W$69:W$73)*Tracks!$C$45,SUM(Popn!W$163:W$167)*Tracks!$B$45,SUM(Popn!W$74:W$99)*Tracks!$C$46,SUM(Popn!W$168:W$193)*Tracks!$B$46)/1000000000</f>
        <v>5.4809985389859168</v>
      </c>
      <c r="X96" s="73">
        <f>SUM(SUM(Popn!X$9:X$13)*Tracks!$C$37,SUM(Popn!X$103:X$107)*Tracks!$B$37,SUM(Popn!X$14:X$18)*Tracks!$C$38,SUM(Popn!X$108:X$112)*Tracks!$B$38,SUM(Popn!X$19:X$23)*Tracks!$C$39,SUM(Popn!X$113:X$117)*Tracks!$B$39,SUM(Popn!X$24:X$28)*Tracks!$C$40,SUM(Popn!X$118:X$122)*Tracks!$B$40,SUM(Popn!X$29:X$38)*Tracks!$C$41,SUM(Popn!X$123:X$132)*Tracks!$B$41,SUM(Popn!X$39:X$48)*Tracks!$C$42,SUM(Popn!X$133:X$142)*Tracks!$B$42,SUM(Popn!X$49:X$58)*Tracks!$C$43,SUM(Popn!X$143:X$152)*Tracks!$B$43,SUM(Popn!X$59:X$68)*Tracks!$C$44,SUM(Popn!X$153:X$162)*Tracks!$B$44,SUM(Popn!X$69:X$73)*Tracks!$C$45,SUM(Popn!X$163:X$167)*Tracks!$B$45,SUM(Popn!X$74:X$99)*Tracks!$C$46,SUM(Popn!X$168:X$193)*Tracks!$B$46)/1000000000</f>
        <v>5.5153266659892219</v>
      </c>
    </row>
    <row r="97" spans="1:24" x14ac:dyDescent="0.2">
      <c r="A97" s="106"/>
      <c r="B97" s="3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x14ac:dyDescent="0.2">
      <c r="A98" s="106" t="s">
        <v>897</v>
      </c>
      <c r="B98" s="36"/>
      <c r="C98" s="69"/>
      <c r="D98" s="69"/>
      <c r="E98" s="69"/>
      <c r="F98" s="69"/>
      <c r="G98" s="69"/>
      <c r="H98" s="69"/>
      <c r="I98" s="103"/>
      <c r="J98" s="103"/>
      <c r="K98" s="103"/>
      <c r="L98" s="103"/>
      <c r="M98" s="103"/>
    </row>
    <row r="99" spans="1:24" x14ac:dyDescent="0.2">
      <c r="A99" s="27" t="s">
        <v>898</v>
      </c>
      <c r="B99" s="228"/>
      <c r="C99" s="69"/>
      <c r="D99" s="71">
        <f>Data!C$40</f>
        <v>0.64500000000000002</v>
      </c>
      <c r="E99" s="71">
        <f>Data!D$40</f>
        <v>0.69</v>
      </c>
      <c r="F99" s="71">
        <f>Data!E$40</f>
        <v>0.65500000000000003</v>
      </c>
      <c r="G99" s="71">
        <f>Data!F$40</f>
        <v>0.32800000000000001</v>
      </c>
      <c r="H99" s="71">
        <f>Data!G$40</f>
        <v>0.30499999999999999</v>
      </c>
      <c r="I99" s="71">
        <f>Data!H$40</f>
        <v>0.192</v>
      </c>
      <c r="J99" s="128">
        <f>Data!I$40</f>
        <v>0.27800000000000002</v>
      </c>
      <c r="K99" s="128">
        <f>Data!J$40</f>
        <v>0.27400000000000002</v>
      </c>
      <c r="L99" s="128">
        <f>Data!K$40</f>
        <v>0.30599999999999999</v>
      </c>
      <c r="M99" s="128">
        <f>Data!L$40</f>
        <v>0.34699999999999998</v>
      </c>
      <c r="N99" s="128">
        <f>Data!M$40</f>
        <v>0.38</v>
      </c>
      <c r="O99" s="75">
        <f>N$99*Tracks!S$14/Tracks!R$14</f>
        <v>0.39316397228637412</v>
      </c>
      <c r="P99" s="75">
        <f>O$99*Tracks!T$14/Tracks!S$14</f>
        <v>0.394919168591224</v>
      </c>
      <c r="Q99" s="75">
        <f>P$99*Tracks!U$14/Tracks!T$14</f>
        <v>0.38614318706697459</v>
      </c>
      <c r="R99" s="75">
        <f>Q$99*Tracks!V$14/Tracks!U$14</f>
        <v>0.3756120092378753</v>
      </c>
      <c r="S99" s="75">
        <f>R$99*Tracks!W$14/Tracks!V$14</f>
        <v>0.36244803695150113</v>
      </c>
      <c r="T99" s="75">
        <f>S$99*Tracks!X$14/Tracks!W$14</f>
        <v>0.35630484988452654</v>
      </c>
      <c r="U99" s="75">
        <f>T$99*Tracks!Y$14/Tracks!X$14</f>
        <v>0.35893764434180137</v>
      </c>
      <c r="V99" s="75">
        <f>U$99*Tracks!Z$14/Tracks!Y$14</f>
        <v>0.36069284064665125</v>
      </c>
      <c r="W99" s="75">
        <f>V$99*Tracks!AA$14/Tracks!Z$14</f>
        <v>0.36244803695150118</v>
      </c>
      <c r="X99" s="75">
        <f>W$99*Tracks!AB$14/Tracks!AA$14</f>
        <v>0.36332563510392613</v>
      </c>
    </row>
    <row r="100" spans="1:24" x14ac:dyDescent="0.2">
      <c r="A100" s="27" t="s">
        <v>899</v>
      </c>
      <c r="B100" s="228"/>
      <c r="C100" s="69"/>
      <c r="D100" s="71">
        <f>Data!C$21</f>
        <v>0.64500000000000002</v>
      </c>
      <c r="E100" s="71">
        <f>Data!D$21</f>
        <v>0.69</v>
      </c>
      <c r="F100" s="71">
        <f>Data!E$21</f>
        <v>0.65500000000000003</v>
      </c>
      <c r="G100" s="71">
        <f>Data!F$21</f>
        <v>0.33300000000000002</v>
      </c>
      <c r="H100" s="71">
        <f>Data!G$21</f>
        <v>0.311</v>
      </c>
      <c r="I100" s="71">
        <f>Data!H$21</f>
        <v>0.19700000000000001</v>
      </c>
      <c r="J100" s="128">
        <f>Data!I$21</f>
        <v>0.28699999999999998</v>
      </c>
      <c r="K100" s="128">
        <f>Data!J$21</f>
        <v>0.28299999999999997</v>
      </c>
      <c r="L100" s="128">
        <f>Data!K$21</f>
        <v>0.315</v>
      </c>
      <c r="M100" s="128">
        <f>Data!L$21</f>
        <v>0.35699999999999998</v>
      </c>
      <c r="N100" s="128">
        <f>Data!M$21</f>
        <v>0.39</v>
      </c>
      <c r="O100" s="75">
        <f t="shared" ref="O100:X100" si="50">N$100*O$99/N$99</f>
        <v>0.40351039260969979</v>
      </c>
      <c r="P100" s="75">
        <f t="shared" si="50"/>
        <v>0.40531177829099313</v>
      </c>
      <c r="Q100" s="75">
        <f t="shared" si="50"/>
        <v>0.39630484988452663</v>
      </c>
      <c r="R100" s="75">
        <f t="shared" si="50"/>
        <v>0.38549653579676685</v>
      </c>
      <c r="S100" s="75">
        <f t="shared" si="50"/>
        <v>0.37198614318706702</v>
      </c>
      <c r="T100" s="75">
        <f t="shared" si="50"/>
        <v>0.36568129330254046</v>
      </c>
      <c r="U100" s="75">
        <f t="shared" si="50"/>
        <v>0.36838337182448039</v>
      </c>
      <c r="V100" s="75">
        <f t="shared" si="50"/>
        <v>0.37018475750577373</v>
      </c>
      <c r="W100" s="75">
        <f t="shared" si="50"/>
        <v>0.37198614318706708</v>
      </c>
      <c r="X100" s="75">
        <f t="shared" si="50"/>
        <v>0.37288683602771372</v>
      </c>
    </row>
    <row r="101" spans="1:24" x14ac:dyDescent="0.2">
      <c r="A101" s="28"/>
      <c r="B101" s="40"/>
      <c r="C101" s="69"/>
      <c r="D101" s="73"/>
      <c r="E101" s="73"/>
      <c r="F101" s="73"/>
      <c r="G101" s="73"/>
      <c r="H101" s="73"/>
      <c r="I101" s="73"/>
      <c r="J101" s="73"/>
    </row>
    <row r="102" spans="1:24" x14ac:dyDescent="0.2">
      <c r="A102" s="106" t="s">
        <v>900</v>
      </c>
      <c r="B102" s="77"/>
      <c r="C102" s="69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27" t="s">
        <v>139</v>
      </c>
      <c r="B103" s="228"/>
      <c r="C103" s="69"/>
      <c r="D103" s="71">
        <f>Data!C$41</f>
        <v>10.355</v>
      </c>
      <c r="E103" s="71">
        <f>Data!D$41</f>
        <v>11.297000000000001</v>
      </c>
      <c r="F103" s="71">
        <f>Data!E$41</f>
        <v>12.368</v>
      </c>
      <c r="G103" s="71">
        <f>Data!F$41</f>
        <v>13.128</v>
      </c>
      <c r="H103" s="71">
        <f>Data!G$41</f>
        <v>13.753</v>
      </c>
      <c r="I103" s="71">
        <f>Data!H$41</f>
        <v>14.16</v>
      </c>
      <c r="J103" s="128">
        <f ca="1">Data!I$41*IF($F$1="Yes",OFFSET('Forecast Adjuster'!$A$67,0,J$289)*OFFSET('Forecast Adjuster'!$A$70,0,J$289),1) + IF(OFFSET(Scenarios!$A$72,0,$C$1)="Yes",OFFSET(Scenarios!$A$73,0,$C$1)*J$148,0) + IF($I$1="Yes",J$312,0)</f>
        <v>14.526</v>
      </c>
      <c r="K103" s="128">
        <f ca="1">Data!J$41*IF($F$1="Yes",OFFSET('Forecast Adjuster'!$A$67,0,K$289)*OFFSET('Forecast Adjuster'!$A$70,0,K$289),1) + IF(OFFSET(Scenarios!$A$72,0,$C$1)="Yes",OFFSET(Scenarios!$A$73,0,$C$1)*K$148,0) + IF($I$1="Yes",K$312,0)</f>
        <v>14.95</v>
      </c>
      <c r="L103" s="128">
        <f ca="1">Data!K$41*IF($F$1="Yes",OFFSET('Forecast Adjuster'!$A$67,0,L$289)*OFFSET('Forecast Adjuster'!$A$70,0,L$289),1) + IF(OFFSET(Scenarios!$A$72,0,$C$1)="Yes",OFFSET(Scenarios!$A$73,0,$C$1)*L$148,0) + IF($I$1="Yes",L$312,0)</f>
        <v>14.88</v>
      </c>
      <c r="M103" s="128">
        <f ca="1">Data!L$41*IF($F$1="Yes",OFFSET('Forecast Adjuster'!$A$67,0,M$289)*OFFSET('Forecast Adjuster'!$A$70,0,M$289),1) + IF(OFFSET(Scenarios!$A$72,0,$C$1)="Yes",OFFSET(Scenarios!$A$73,0,$C$1)*M$148,0) + IF($I$1="Yes",M$312,0)</f>
        <v>14.91</v>
      </c>
      <c r="N103" s="128">
        <f ca="1">Data!M$41*IF($F$1="Yes",OFFSET('Forecast Adjuster'!$A$67,0,N$289)*OFFSET('Forecast Adjuster'!$A$70,0,N$289),1) + IF(OFFSET(Scenarios!$A$72,0,$C$1)="Yes",OFFSET(Scenarios!$A$73,0,$C$1)*N$148,0) + IF($I$1="Yes",N$312,0)</f>
        <v>14.888</v>
      </c>
      <c r="O103" s="75">
        <f ca="1">N$103 +IF(OFFSET(Scenarios!$A$72,0,$C$1)="Yes",(O$148-N$148)*OFFSET(Scenarios!$A$73,0,$C$1),0)</f>
        <v>14.888</v>
      </c>
      <c r="P103" s="75">
        <f ca="1">O$103 +IF(OFFSET(Scenarios!$A$72,0,$C$1)="Yes",(P$148-O$148)*OFFSET(Scenarios!$A$73,0,$C$1),0)</f>
        <v>14.888</v>
      </c>
      <c r="Q103" s="75">
        <f ca="1">P$103 +IF(OFFSET(Scenarios!$A$72,0,$C$1)="Yes",(Q$148-P$148)*OFFSET(Scenarios!$A$73,0,$C$1),0)</f>
        <v>14.888</v>
      </c>
      <c r="R103" s="75">
        <f ca="1">Q$103 +IF(OFFSET(Scenarios!$A$72,0,$C$1)="Yes",(R$148-Q$148)*OFFSET(Scenarios!$A$73,0,$C$1),0)</f>
        <v>14.888</v>
      </c>
      <c r="S103" s="75">
        <f ca="1">R$103 +IF(OFFSET(Scenarios!$A$72,0,$C$1)="Yes",(S$148-R$148)*OFFSET(Scenarios!$A$73,0,$C$1),0)</f>
        <v>14.888</v>
      </c>
      <c r="T103" s="75">
        <f ca="1">S$103 +IF(OFFSET(Scenarios!$A$72,0,$C$1)="Yes",(T$148-S$148)*OFFSET(Scenarios!$A$73,0,$C$1),0)</f>
        <v>14.888</v>
      </c>
      <c r="U103" s="75">
        <f ca="1">T$103 +IF(OFFSET(Scenarios!$A$72,0,$C$1)="Yes",(U$148-T$148)*OFFSET(Scenarios!$A$73,0,$C$1),0)</f>
        <v>14.888</v>
      </c>
      <c r="V103" s="75">
        <f ca="1">U$103 +IF(OFFSET(Scenarios!$A$72,0,$C$1)="Yes",(V$148-U$148)*OFFSET(Scenarios!$A$73,0,$C$1),0)</f>
        <v>14.888</v>
      </c>
      <c r="W103" s="75">
        <f ca="1">V$103 +IF(OFFSET(Scenarios!$A$72,0,$C$1)="Yes",(W$148-V$148)*OFFSET(Scenarios!$A$73,0,$C$1),0)</f>
        <v>14.888</v>
      </c>
      <c r="X103" s="75">
        <f ca="1">W$103 +IF(OFFSET(Scenarios!$A$72,0,$C$1)="Yes",(X$148-W$148)*OFFSET(Scenarios!$A$73,0,$C$1),0)</f>
        <v>14.888</v>
      </c>
    </row>
    <row r="104" spans="1:24" x14ac:dyDescent="0.2">
      <c r="A104" s="27" t="s">
        <v>140</v>
      </c>
      <c r="B104" s="228"/>
      <c r="C104" s="69"/>
      <c r="D104" s="71">
        <f>Data!C$22</f>
        <v>10.661</v>
      </c>
      <c r="E104" s="71">
        <f>Data!D$22</f>
        <v>10.808999999999999</v>
      </c>
      <c r="F104" s="71">
        <f>Data!E$22</f>
        <v>12.042</v>
      </c>
      <c r="G104" s="71">
        <f>Data!F$22</f>
        <v>12.673</v>
      </c>
      <c r="H104" s="71">
        <f>Data!G$22</f>
        <v>13.068</v>
      </c>
      <c r="I104" s="71">
        <f>Data!H$22</f>
        <v>13.65</v>
      </c>
      <c r="J104" s="128">
        <f ca="1">Data!I$22 + IF($F$1="Yes",Data!I$41*(OFFSET('Forecast Adjuster'!$A$67,0,J$289)*OFFSET('Forecast Adjuster'!$A$70,0,J$289)-1),0) + IF(OFFSET(Scenarios!$A$72,0,$C$1)="Yes",OFFSET(Scenarios!$A$73,0,$C$1)*J$148,0) + IF($I$1="Yes",J$312,0)</f>
        <v>13.895</v>
      </c>
      <c r="K104" s="128">
        <f ca="1">Data!J$22 + IF($F$1="Yes",Data!J$41*(OFFSET('Forecast Adjuster'!$A$67,0,K$289)*OFFSET('Forecast Adjuster'!$A$70,0,K$289)-1),0) + IF(OFFSET(Scenarios!$A$72,0,$C$1)="Yes",OFFSET(Scenarios!$A$73,0,$C$1)*K$148,0) + IF($I$1="Yes",K$312,0)</f>
        <v>14.351000000000001</v>
      </c>
      <c r="L104" s="128">
        <f ca="1">Data!K$22 + IF($F$1="Yes",Data!K$41*(OFFSET('Forecast Adjuster'!$A$67,0,L$289)*OFFSET('Forecast Adjuster'!$A$70,0,L$289)-1),0) + IF(OFFSET(Scenarios!$A$72,0,$C$1)="Yes",OFFSET(Scenarios!$A$73,0,$C$1)*L$148,0) + IF($I$1="Yes",L$312,0)</f>
        <v>14.237</v>
      </c>
      <c r="M104" s="128">
        <f ca="1">Data!L$22 + IF($F$1="Yes",Data!L$41*(OFFSET('Forecast Adjuster'!$A$67,0,M$289)*OFFSET('Forecast Adjuster'!$A$70,0,M$289)-1),0) + IF(OFFSET(Scenarios!$A$72,0,$C$1)="Yes",OFFSET(Scenarios!$A$73,0,$C$1)*M$148,0) + IF($I$1="Yes",M$312,0)</f>
        <v>14.21</v>
      </c>
      <c r="N104" s="128">
        <f ca="1">Data!M$22 + IF($F$1="Yes",Data!M$41*(OFFSET('Forecast Adjuster'!$A$67,0,N$289)*OFFSET('Forecast Adjuster'!$A$70,0,N$289)-1),0) + IF(OFFSET(Scenarios!$A$72,0,$C$1)="Yes",OFFSET(Scenarios!$A$73,0,$C$1)*N$148,0) + IF($I$1="Yes",N$312,0)</f>
        <v>14.074999999999999</v>
      </c>
      <c r="O104" s="75">
        <f t="shared" ref="O104:X104" ca="1" si="51">SUM(O$103,(N$104-N$103)*SUM(O$105,O$106)/SUM(N$105,N$106))</f>
        <v>14.061819591844406</v>
      </c>
      <c r="P104" s="75">
        <f t="shared" ca="1" si="51"/>
        <v>14.048239665208872</v>
      </c>
      <c r="Q104" s="75">
        <f t="shared" ca="1" si="51"/>
        <v>14.034304617317726</v>
      </c>
      <c r="R104" s="75">
        <f t="shared" ca="1" si="51"/>
        <v>14.019809421853024</v>
      </c>
      <c r="S104" s="75">
        <f t="shared" ca="1" si="51"/>
        <v>14.004568447969199</v>
      </c>
      <c r="T104" s="75">
        <f t="shared" ca="1" si="51"/>
        <v>13.989867558345354</v>
      </c>
      <c r="U104" s="75">
        <f t="shared" ca="1" si="51"/>
        <v>13.97482576588275</v>
      </c>
      <c r="V104" s="75">
        <f t="shared" ca="1" si="51"/>
        <v>13.959490520372205</v>
      </c>
      <c r="W104" s="75">
        <f t="shared" ca="1" si="51"/>
        <v>13.94377422720636</v>
      </c>
      <c r="X104" s="75">
        <f t="shared" ca="1" si="51"/>
        <v>13.927559305438828</v>
      </c>
    </row>
    <row r="105" spans="1:24" x14ac:dyDescent="0.2">
      <c r="A105" s="106" t="s">
        <v>901</v>
      </c>
      <c r="B105" s="77"/>
      <c r="C105" s="69"/>
      <c r="D105" s="69">
        <f>SUM(SUM(Popn!D$9:D$13)*Tracks!$M$51,SUM(Popn!D$14:D$18)*Tracks!$M$52,SUM(Popn!D$19:D$23)*Tracks!$M$53,SUM(Popn!D$24:D$28)*Tracks!$M$54,SUM(Popn!D$29:D$33)*Tracks!$M$55,SUM(Popn!D$34:D$38)*Tracks!$M$56,SUM(Popn!D$39:D$43)*Tracks!$M$57,SUM(Popn!D$44:D$48)*Tracks!$M$58,SUM(Popn!D$49:D$53)*Tracks!$M$59,SUM(Popn!D$54:D$58)*Tracks!$M$60,SUM(Popn!D$59:D$63)*Tracks!$M$61,SUM(Popn!D$64:D$68)*Tracks!$M$62,SUM(Popn!D$69:D$73)*Tracks!$M$63,SUM(Popn!D$74:D$78)*Tracks!$M$64,SUM(Popn!D$79:D$83)*Tracks!$M$65,SUM(Popn!D$84:D$88)*Tracks!$M$66,SUM(Popn!D$89:D$93)*Tracks!$M$67,SUM(Popn!D$94:D$99)*Tracks!$M$68)/1000000000</f>
        <v>5.3512811944888492</v>
      </c>
      <c r="E105" s="69">
        <f>SUM(SUM(Popn!E$9:E$13)*Tracks!$M$51,SUM(Popn!E$14:E$18)*Tracks!$M$52,SUM(Popn!E$19:E$23)*Tracks!$M$53,SUM(Popn!E$24:E$28)*Tracks!$M$54,SUM(Popn!E$29:E$33)*Tracks!$M$55,SUM(Popn!E$34:E$38)*Tracks!$M$56,SUM(Popn!E$39:E$43)*Tracks!$M$57,SUM(Popn!E$44:E$48)*Tracks!$M$58,SUM(Popn!E$49:E$53)*Tracks!$M$59,SUM(Popn!E$54:E$58)*Tracks!$M$60,SUM(Popn!E$59:E$63)*Tracks!$M$61,SUM(Popn!E$64:E$68)*Tracks!$M$62,SUM(Popn!E$69:E$73)*Tracks!$M$63,SUM(Popn!E$74:E$78)*Tracks!$M$64,SUM(Popn!E$79:E$83)*Tracks!$M$65,SUM(Popn!E$84:E$88)*Tracks!$M$66,SUM(Popn!E$89:E$93)*Tracks!$M$67,SUM(Popn!E$94:E$99)*Tracks!$M$68)/1000000000</f>
        <v>5.4502066558101818</v>
      </c>
      <c r="F105" s="69">
        <f>SUM(SUM(Popn!F$9:F$13)*Tracks!$M$51,SUM(Popn!F$14:F$18)*Tracks!$M$52,SUM(Popn!F$19:F$23)*Tracks!$M$53,SUM(Popn!F$24:F$28)*Tracks!$M$54,SUM(Popn!F$29:F$33)*Tracks!$M$55,SUM(Popn!F$34:F$38)*Tracks!$M$56,SUM(Popn!F$39:F$43)*Tracks!$M$57,SUM(Popn!F$44:F$48)*Tracks!$M$58,SUM(Popn!F$49:F$53)*Tracks!$M$59,SUM(Popn!F$54:F$58)*Tracks!$M$60,SUM(Popn!F$59:F$63)*Tracks!$M$61,SUM(Popn!F$64:F$68)*Tracks!$M$62,SUM(Popn!F$69:F$73)*Tracks!$M$63,SUM(Popn!F$74:F$78)*Tracks!$M$64,SUM(Popn!F$79:F$83)*Tracks!$M$65,SUM(Popn!F$84:F$88)*Tracks!$M$66,SUM(Popn!F$89:F$93)*Tracks!$M$67,SUM(Popn!F$94:F$99)*Tracks!$M$68)/1000000000</f>
        <v>5.5566730000704831</v>
      </c>
      <c r="G105" s="69">
        <f>SUM(SUM(Popn!G$9:G$13)*Tracks!$M$51,SUM(Popn!G$14:G$18)*Tracks!$M$52,SUM(Popn!G$19:G$23)*Tracks!$M$53,SUM(Popn!G$24:G$28)*Tracks!$M$54,SUM(Popn!G$29:G$33)*Tracks!$M$55,SUM(Popn!G$34:G$38)*Tracks!$M$56,SUM(Popn!G$39:G$43)*Tracks!$M$57,SUM(Popn!G$44:G$48)*Tracks!$M$58,SUM(Popn!G$49:G$53)*Tracks!$M$59,SUM(Popn!G$54:G$58)*Tracks!$M$60,SUM(Popn!G$59:G$63)*Tracks!$M$61,SUM(Popn!G$64:G$68)*Tracks!$M$62,SUM(Popn!G$69:G$73)*Tracks!$M$63,SUM(Popn!G$74:G$78)*Tracks!$M$64,SUM(Popn!G$79:G$83)*Tracks!$M$65,SUM(Popn!G$84:G$88)*Tracks!$M$66,SUM(Popn!G$89:G$93)*Tracks!$M$67,SUM(Popn!G$94:G$99)*Tracks!$M$68)/1000000000</f>
        <v>5.6705807791341387</v>
      </c>
      <c r="H105" s="69">
        <f>SUM(SUM(Popn!H$9:H$13)*Tracks!$M$51,SUM(Popn!H$14:H$18)*Tracks!$M$52,SUM(Popn!H$19:H$23)*Tracks!$M$53,SUM(Popn!H$24:H$28)*Tracks!$M$54,SUM(Popn!H$29:H$33)*Tracks!$M$55,SUM(Popn!H$34:H$38)*Tracks!$M$56,SUM(Popn!H$39:H$43)*Tracks!$M$57,SUM(Popn!H$44:H$48)*Tracks!$M$58,SUM(Popn!H$49:H$53)*Tracks!$M$59,SUM(Popn!H$54:H$58)*Tracks!$M$60,SUM(Popn!H$59:H$63)*Tracks!$M$61,SUM(Popn!H$64:H$68)*Tracks!$M$62,SUM(Popn!H$69:H$73)*Tracks!$M$63,SUM(Popn!H$74:H$78)*Tracks!$M$64,SUM(Popn!H$79:H$83)*Tracks!$M$65,SUM(Popn!H$84:H$88)*Tracks!$M$66,SUM(Popn!H$89:H$93)*Tracks!$M$67,SUM(Popn!H$94:H$99)*Tracks!$M$68)/1000000000</f>
        <v>5.7730808470554829</v>
      </c>
      <c r="I105" s="69">
        <f>SUM(SUM(Popn!I$9:I$13)*Tracks!$M$51,SUM(Popn!I$14:I$18)*Tracks!$M$52,SUM(Popn!I$19:I$23)*Tracks!$M$53,SUM(Popn!I$24:I$28)*Tracks!$M$54,SUM(Popn!I$29:I$33)*Tracks!$M$55,SUM(Popn!I$34:I$38)*Tracks!$M$56,SUM(Popn!I$39:I$43)*Tracks!$M$57,SUM(Popn!I$44:I$48)*Tracks!$M$58,SUM(Popn!I$49:I$53)*Tracks!$M$59,SUM(Popn!I$54:I$58)*Tracks!$M$60,SUM(Popn!I$59:I$63)*Tracks!$M$61,SUM(Popn!I$64:I$68)*Tracks!$M$62,SUM(Popn!I$69:I$73)*Tracks!$M$63,SUM(Popn!I$74:I$78)*Tracks!$M$64,SUM(Popn!I$79:I$83)*Tracks!$M$65,SUM(Popn!I$84:I$88)*Tracks!$M$66,SUM(Popn!I$89:I$93)*Tracks!$M$67,SUM(Popn!I$94:I$99)*Tracks!$M$68)/1000000000</f>
        <v>5.862708853456077</v>
      </c>
      <c r="J105" s="123">
        <f>SUM(SUM(Popn!J$9:J$13)*Tracks!$M$51,SUM(Popn!J$14:J$18)*Tracks!$M$52,SUM(Popn!J$19:J$23)*Tracks!$M$53,SUM(Popn!J$24:J$28)*Tracks!$M$54,SUM(Popn!J$29:J$33)*Tracks!$M$55,SUM(Popn!J$34:J$38)*Tracks!$M$56,SUM(Popn!J$39:J$43)*Tracks!$M$57,SUM(Popn!J$44:J$48)*Tracks!$M$58,SUM(Popn!J$49:J$53)*Tracks!$M$59,SUM(Popn!J$54:J$58)*Tracks!$M$60,SUM(Popn!J$59:J$63)*Tracks!$M$61,SUM(Popn!J$64:J$68)*Tracks!$M$62,SUM(Popn!J$69:J$73)*Tracks!$M$63,SUM(Popn!J$74:J$78)*Tracks!$M$64,SUM(Popn!J$79:J$83)*Tracks!$M$65,SUM(Popn!J$84:J$88)*Tracks!$M$66,SUM(Popn!J$89:J$93)*Tracks!$M$67,SUM(Popn!J$94:J$99)*Tracks!$M$68)/1000000000</f>
        <v>5.9482735755428484</v>
      </c>
      <c r="K105" s="123">
        <f>SUM(SUM(Popn!K$9:K$13)*Tracks!$M$51,SUM(Popn!K$14:K$18)*Tracks!$M$52,SUM(Popn!K$19:K$23)*Tracks!$M$53,SUM(Popn!K$24:K$28)*Tracks!$M$54,SUM(Popn!K$29:K$33)*Tracks!$M$55,SUM(Popn!K$34:K$38)*Tracks!$M$56,SUM(Popn!K$39:K$43)*Tracks!$M$57,SUM(Popn!K$44:K$48)*Tracks!$M$58,SUM(Popn!K$49:K$53)*Tracks!$M$59,SUM(Popn!K$54:K$58)*Tracks!$M$60,SUM(Popn!K$59:K$63)*Tracks!$M$61,SUM(Popn!K$64:K$68)*Tracks!$M$62,SUM(Popn!K$69:K$73)*Tracks!$M$63,SUM(Popn!K$74:K$78)*Tracks!$M$64,SUM(Popn!K$79:K$83)*Tracks!$M$65,SUM(Popn!K$84:K$88)*Tracks!$M$66,SUM(Popn!K$89:K$93)*Tracks!$M$67,SUM(Popn!K$94:K$99)*Tracks!$M$68)/1000000000</f>
        <v>6.0439881977269927</v>
      </c>
      <c r="L105" s="123">
        <f>SUM(SUM(Popn!L$9:L$13)*Tracks!$M$51,SUM(Popn!L$14:L$18)*Tracks!$M$52,SUM(Popn!L$19:L$23)*Tracks!$M$53,SUM(Popn!L$24:L$28)*Tracks!$M$54,SUM(Popn!L$29:L$33)*Tracks!$M$55,SUM(Popn!L$34:L$38)*Tracks!$M$56,SUM(Popn!L$39:L$43)*Tracks!$M$57,SUM(Popn!L$44:L$48)*Tracks!$M$58,SUM(Popn!L$49:L$53)*Tracks!$M$59,SUM(Popn!L$54:L$58)*Tracks!$M$60,SUM(Popn!L$59:L$63)*Tracks!$M$61,SUM(Popn!L$64:L$68)*Tracks!$M$62,SUM(Popn!L$69:L$73)*Tracks!$M$63,SUM(Popn!L$74:L$78)*Tracks!$M$64,SUM(Popn!L$79:L$83)*Tracks!$M$65,SUM(Popn!L$84:L$88)*Tracks!$M$66,SUM(Popn!L$89:L$93)*Tracks!$M$67,SUM(Popn!L$94:L$99)*Tracks!$M$68)/1000000000</f>
        <v>6.147319006912296</v>
      </c>
      <c r="M105" s="123">
        <f>SUM(SUM(Popn!M$9:M$13)*Tracks!$M$51,SUM(Popn!M$14:M$18)*Tracks!$M$52,SUM(Popn!M$19:M$23)*Tracks!$M$53,SUM(Popn!M$24:M$28)*Tracks!$M$54,SUM(Popn!M$29:M$33)*Tracks!$M$55,SUM(Popn!M$34:M$38)*Tracks!$M$56,SUM(Popn!M$39:M$43)*Tracks!$M$57,SUM(Popn!M$44:M$48)*Tracks!$M$58,SUM(Popn!M$49:M$53)*Tracks!$M$59,SUM(Popn!M$54:M$58)*Tracks!$M$60,SUM(Popn!M$59:M$63)*Tracks!$M$61,SUM(Popn!M$64:M$68)*Tracks!$M$62,SUM(Popn!M$69:M$73)*Tracks!$M$63,SUM(Popn!M$74:M$78)*Tracks!$M$64,SUM(Popn!M$79:M$83)*Tracks!$M$65,SUM(Popn!M$84:M$88)*Tracks!$M$66,SUM(Popn!M$89:M$93)*Tracks!$M$67,SUM(Popn!M$94:M$99)*Tracks!$M$68)/1000000000</f>
        <v>6.2553434505376835</v>
      </c>
      <c r="N105" s="123">
        <f>SUM(SUM(Popn!N$9:N$13)*Tracks!$M$51,SUM(Popn!N$14:N$18)*Tracks!$M$52,SUM(Popn!N$19:N$23)*Tracks!$M$53,SUM(Popn!N$24:N$28)*Tracks!$M$54,SUM(Popn!N$29:N$33)*Tracks!$M$55,SUM(Popn!N$34:N$38)*Tracks!$M$56,SUM(Popn!N$39:N$43)*Tracks!$M$57,SUM(Popn!N$44:N$48)*Tracks!$M$58,SUM(Popn!N$49:N$53)*Tracks!$M$59,SUM(Popn!N$54:N$58)*Tracks!$M$60,SUM(Popn!N$59:N$63)*Tracks!$M$61,SUM(Popn!N$64:N$68)*Tracks!$M$62,SUM(Popn!N$69:N$73)*Tracks!$M$63,SUM(Popn!N$74:N$78)*Tracks!$M$64,SUM(Popn!N$79:N$83)*Tracks!$M$65,SUM(Popn!N$84:N$88)*Tracks!$M$66,SUM(Popn!N$89:N$93)*Tracks!$M$67,SUM(Popn!N$94:N$99)*Tracks!$M$68)/1000000000</f>
        <v>6.3686053296043381</v>
      </c>
      <c r="O105" s="73">
        <f>SUM(SUM(Popn!O$9:O$13)*Tracks!$M$51,SUM(Popn!O$14:O$18)*Tracks!$M$52,SUM(Popn!O$19:O$23)*Tracks!$M$53,SUM(Popn!O$24:O$28)*Tracks!$M$54,SUM(Popn!O$29:O$33)*Tracks!$M$55,SUM(Popn!O$34:O$38)*Tracks!$M$56,SUM(Popn!O$39:O$43)*Tracks!$M$57,SUM(Popn!O$44:O$48)*Tracks!$M$58,SUM(Popn!O$49:O$53)*Tracks!$M$59,SUM(Popn!O$54:O$58)*Tracks!$M$60,SUM(Popn!O$59:O$63)*Tracks!$M$61,SUM(Popn!O$64:O$68)*Tracks!$M$62,SUM(Popn!O$69:O$73)*Tracks!$M$63,SUM(Popn!O$74:O$78)*Tracks!$M$64,SUM(Popn!O$79:O$83)*Tracks!$M$65,SUM(Popn!O$84:O$88)*Tracks!$M$66,SUM(Popn!O$89:O$93)*Tracks!$M$67,SUM(Popn!O$94:O$99)*Tracks!$M$68)/1000000000</f>
        <v>6.4774838947864852</v>
      </c>
      <c r="P105" s="73">
        <f>SUM(SUM(Popn!P$9:P$13)*Tracks!$M$51,SUM(Popn!P$14:P$18)*Tracks!$M$52,SUM(Popn!P$19:P$23)*Tracks!$M$53,SUM(Popn!P$24:P$28)*Tracks!$M$54,SUM(Popn!P$29:P$33)*Tracks!$M$55,SUM(Popn!P$34:P$38)*Tracks!$M$56,SUM(Popn!P$39:P$43)*Tracks!$M$57,SUM(Popn!P$44:P$48)*Tracks!$M$58,SUM(Popn!P$49:P$53)*Tracks!$M$59,SUM(Popn!P$54:P$58)*Tracks!$M$60,SUM(Popn!P$59:P$63)*Tracks!$M$61,SUM(Popn!P$64:P$68)*Tracks!$M$62,SUM(Popn!P$69:P$73)*Tracks!$M$63,SUM(Popn!P$74:P$78)*Tracks!$M$64,SUM(Popn!P$79:P$83)*Tracks!$M$65,SUM(Popn!P$84:P$88)*Tracks!$M$66,SUM(Popn!P$89:P$93)*Tracks!$M$67,SUM(Popn!P$94:P$99)*Tracks!$M$68)/1000000000</f>
        <v>6.5898776576918232</v>
      </c>
      <c r="Q105" s="73">
        <f>SUM(SUM(Popn!Q$9:Q$13)*Tracks!$M$51,SUM(Popn!Q$14:Q$18)*Tracks!$M$52,SUM(Popn!Q$19:Q$23)*Tracks!$M$53,SUM(Popn!Q$24:Q$28)*Tracks!$M$54,SUM(Popn!Q$29:Q$33)*Tracks!$M$55,SUM(Popn!Q$34:Q$38)*Tracks!$M$56,SUM(Popn!Q$39:Q$43)*Tracks!$M$57,SUM(Popn!Q$44:Q$48)*Tracks!$M$58,SUM(Popn!Q$49:Q$53)*Tracks!$M$59,SUM(Popn!Q$54:Q$58)*Tracks!$M$60,SUM(Popn!Q$59:Q$63)*Tracks!$M$61,SUM(Popn!Q$64:Q$68)*Tracks!$M$62,SUM(Popn!Q$69:Q$73)*Tracks!$M$63,SUM(Popn!Q$74:Q$78)*Tracks!$M$64,SUM(Popn!Q$79:Q$83)*Tracks!$M$65,SUM(Popn!Q$84:Q$88)*Tracks!$M$66,SUM(Popn!Q$89:Q$93)*Tracks!$M$67,SUM(Popn!Q$94:Q$99)*Tracks!$M$68)/1000000000</f>
        <v>6.7041134371777504</v>
      </c>
      <c r="R105" s="73">
        <f>SUM(SUM(Popn!R$9:R$13)*Tracks!$M$51,SUM(Popn!R$14:R$18)*Tracks!$M$52,SUM(Popn!R$19:R$23)*Tracks!$M$53,SUM(Popn!R$24:R$28)*Tracks!$M$54,SUM(Popn!R$29:R$33)*Tracks!$M$55,SUM(Popn!R$34:R$38)*Tracks!$M$56,SUM(Popn!R$39:R$43)*Tracks!$M$57,SUM(Popn!R$44:R$48)*Tracks!$M$58,SUM(Popn!R$49:R$53)*Tracks!$M$59,SUM(Popn!R$54:R$58)*Tracks!$M$60,SUM(Popn!R$59:R$63)*Tracks!$M$61,SUM(Popn!R$64:R$68)*Tracks!$M$62,SUM(Popn!R$69:R$73)*Tracks!$M$63,SUM(Popn!R$74:R$78)*Tracks!$M$64,SUM(Popn!R$79:R$83)*Tracks!$M$65,SUM(Popn!R$84:R$88)*Tracks!$M$66,SUM(Popn!R$89:R$93)*Tracks!$M$67,SUM(Popn!R$94:R$99)*Tracks!$M$68)/1000000000</f>
        <v>6.8209835367241407</v>
      </c>
      <c r="S105" s="73">
        <f>SUM(SUM(Popn!S$9:S$13)*Tracks!$M$51,SUM(Popn!S$14:S$18)*Tracks!$M$52,SUM(Popn!S$19:S$23)*Tracks!$M$53,SUM(Popn!S$24:S$28)*Tracks!$M$54,SUM(Popn!S$29:S$33)*Tracks!$M$55,SUM(Popn!S$34:S$38)*Tracks!$M$56,SUM(Popn!S$39:S$43)*Tracks!$M$57,SUM(Popn!S$44:S$48)*Tracks!$M$58,SUM(Popn!S$49:S$53)*Tracks!$M$59,SUM(Popn!S$54:S$58)*Tracks!$M$60,SUM(Popn!S$59:S$63)*Tracks!$M$61,SUM(Popn!S$64:S$68)*Tracks!$M$62,SUM(Popn!S$69:S$73)*Tracks!$M$63,SUM(Popn!S$74:S$78)*Tracks!$M$64,SUM(Popn!S$79:S$83)*Tracks!$M$65,SUM(Popn!S$84:S$88)*Tracks!$M$66,SUM(Popn!S$89:S$93)*Tracks!$M$67,SUM(Popn!S$94:S$99)*Tracks!$M$68)/1000000000</f>
        <v>6.9428410084229615</v>
      </c>
      <c r="T105" s="73">
        <f>SUM(SUM(Popn!T$9:T$13)*Tracks!$M$51,SUM(Popn!T$14:T$18)*Tracks!$M$52,SUM(Popn!T$19:T$23)*Tracks!$M$53,SUM(Popn!T$24:T$28)*Tracks!$M$54,SUM(Popn!T$29:T$33)*Tracks!$M$55,SUM(Popn!T$34:T$38)*Tracks!$M$56,SUM(Popn!T$39:T$43)*Tracks!$M$57,SUM(Popn!T$44:T$48)*Tracks!$M$58,SUM(Popn!T$49:T$53)*Tracks!$M$59,SUM(Popn!T$54:T$58)*Tracks!$M$60,SUM(Popn!T$59:T$63)*Tracks!$M$61,SUM(Popn!T$64:T$68)*Tracks!$M$62,SUM(Popn!T$69:T$73)*Tracks!$M$63,SUM(Popn!T$74:T$78)*Tracks!$M$64,SUM(Popn!T$79:T$83)*Tracks!$M$65,SUM(Popn!T$84:T$88)*Tracks!$M$66,SUM(Popn!T$89:T$93)*Tracks!$M$67,SUM(Popn!T$94:T$99)*Tracks!$M$68)/1000000000</f>
        <v>7.0601842833039088</v>
      </c>
      <c r="U105" s="73">
        <f>SUM(SUM(Popn!U$9:U$13)*Tracks!$M$51,SUM(Popn!U$14:U$18)*Tracks!$M$52,SUM(Popn!U$19:U$23)*Tracks!$M$53,SUM(Popn!U$24:U$28)*Tracks!$M$54,SUM(Popn!U$29:U$33)*Tracks!$M$55,SUM(Popn!U$34:U$38)*Tracks!$M$56,SUM(Popn!U$39:U$43)*Tracks!$M$57,SUM(Popn!U$44:U$48)*Tracks!$M$58,SUM(Popn!U$49:U$53)*Tracks!$M$59,SUM(Popn!U$54:U$58)*Tracks!$M$60,SUM(Popn!U$59:U$63)*Tracks!$M$61,SUM(Popn!U$64:U$68)*Tracks!$M$62,SUM(Popn!U$69:U$73)*Tracks!$M$63,SUM(Popn!U$74:U$78)*Tracks!$M$64,SUM(Popn!U$79:U$83)*Tracks!$M$65,SUM(Popn!U$84:U$88)*Tracks!$M$66,SUM(Popn!U$89:U$93)*Tracks!$M$67,SUM(Popn!U$94:U$99)*Tracks!$M$68)/1000000000</f>
        <v>7.1792427383463329</v>
      </c>
      <c r="V105" s="73">
        <f>SUM(SUM(Popn!V$9:V$13)*Tracks!$M$51,SUM(Popn!V$14:V$18)*Tracks!$M$52,SUM(Popn!V$19:V$23)*Tracks!$M$53,SUM(Popn!V$24:V$28)*Tracks!$M$54,SUM(Popn!V$29:V$33)*Tracks!$M$55,SUM(Popn!V$34:V$38)*Tracks!$M$56,SUM(Popn!V$39:V$43)*Tracks!$M$57,SUM(Popn!V$44:V$48)*Tracks!$M$58,SUM(Popn!V$49:V$53)*Tracks!$M$59,SUM(Popn!V$54:V$58)*Tracks!$M$60,SUM(Popn!V$59:V$63)*Tracks!$M$61,SUM(Popn!V$64:V$68)*Tracks!$M$62,SUM(Popn!V$69:V$73)*Tracks!$M$63,SUM(Popn!V$74:V$78)*Tracks!$M$64,SUM(Popn!V$79:V$83)*Tracks!$M$65,SUM(Popn!V$84:V$88)*Tracks!$M$66,SUM(Popn!V$89:V$93)*Tracks!$M$67,SUM(Popn!V$94:V$99)*Tracks!$M$68)/1000000000</f>
        <v>7.2988385743542823</v>
      </c>
      <c r="W105" s="73">
        <f>SUM(SUM(Popn!W$9:W$13)*Tracks!$M$51,SUM(Popn!W$14:W$18)*Tracks!$M$52,SUM(Popn!W$19:W$23)*Tracks!$M$53,SUM(Popn!W$24:W$28)*Tracks!$M$54,SUM(Popn!W$29:W$33)*Tracks!$M$55,SUM(Popn!W$34:W$38)*Tracks!$M$56,SUM(Popn!W$39:W$43)*Tracks!$M$57,SUM(Popn!W$44:W$48)*Tracks!$M$58,SUM(Popn!W$49:W$53)*Tracks!$M$59,SUM(Popn!W$54:W$58)*Tracks!$M$60,SUM(Popn!W$59:W$63)*Tracks!$M$61,SUM(Popn!W$64:W$68)*Tracks!$M$62,SUM(Popn!W$69:W$73)*Tracks!$M$63,SUM(Popn!W$74:W$78)*Tracks!$M$64,SUM(Popn!W$79:W$83)*Tracks!$M$65,SUM(Popn!W$84:W$88)*Tracks!$M$66,SUM(Popn!W$89:W$93)*Tracks!$M$67,SUM(Popn!W$94:W$99)*Tracks!$M$68)/1000000000</f>
        <v>7.419781360596521</v>
      </c>
      <c r="X105" s="73">
        <f>SUM(SUM(Popn!X$9:X$13)*Tracks!$M$51,SUM(Popn!X$14:X$18)*Tracks!$M$52,SUM(Popn!X$19:X$23)*Tracks!$M$53,SUM(Popn!X$24:X$28)*Tracks!$M$54,SUM(Popn!X$29:X$33)*Tracks!$M$55,SUM(Popn!X$34:X$38)*Tracks!$M$56,SUM(Popn!X$39:X$43)*Tracks!$M$57,SUM(Popn!X$44:X$48)*Tracks!$M$58,SUM(Popn!X$49:X$53)*Tracks!$M$59,SUM(Popn!X$54:X$58)*Tracks!$M$60,SUM(Popn!X$59:X$63)*Tracks!$M$61,SUM(Popn!X$64:X$68)*Tracks!$M$62,SUM(Popn!X$69:X$73)*Tracks!$M$63,SUM(Popn!X$74:X$78)*Tracks!$M$64,SUM(Popn!X$79:X$83)*Tracks!$M$65,SUM(Popn!X$84:X$88)*Tracks!$M$66,SUM(Popn!X$89:X$93)*Tracks!$M$67,SUM(Popn!X$94:X$99)*Tracks!$M$68)/1000000000</f>
        <v>7.5433253379933749</v>
      </c>
    </row>
    <row r="106" spans="1:24" x14ac:dyDescent="0.2">
      <c r="A106" s="106" t="s">
        <v>902</v>
      </c>
      <c r="B106" s="77"/>
      <c r="C106" s="69"/>
      <c r="D106" s="87">
        <f>SUM(SUM(Popn!D$103:D$107)*Tracks!$L$51,SUM(Popn!D$108:D$112)*Tracks!$L$52,SUM(Popn!D$113:D$117)*Tracks!$L$53,SUM(Popn!D$118:D$122)*Tracks!$L$54,SUM(Popn!D$123:D$127)*Tracks!$L$55,SUM(Popn!D$128:D$132)*Tracks!$L$56,SUM(Popn!D$133:D$137)*Tracks!$L$57,SUM(Popn!D$138:D$142)*Tracks!$L$58,SUM(Popn!D$143:D$147)*Tracks!$L$59,SUM(Popn!D$148:D$152)*Tracks!$L$60,SUM(Popn!D$153:D$157)*Tracks!$L$61,SUM(Popn!D$158:D$162)*Tracks!$L$62,SUM(Popn!D$163:D$167)*Tracks!$L$63,SUM(Popn!D$168:D$172)*Tracks!$L$64,SUM(Popn!D$173:D$177)*Tracks!$L$65,SUM(Popn!D$178:D$182)*Tracks!$L$66,SUM(Popn!D$183:D$187)*Tracks!$L$67,SUM(Popn!D$188:D$193)*Tracks!$L$68)/1000000000</f>
        <v>6.3158688215335683</v>
      </c>
      <c r="E106" s="87">
        <f>SUM(SUM(Popn!E$103:E$107)*Tracks!$L$51,SUM(Popn!E$108:E$112)*Tracks!$L$52,SUM(Popn!E$113:E$117)*Tracks!$L$53,SUM(Popn!E$118:E$122)*Tracks!$L$54,SUM(Popn!E$123:E$127)*Tracks!$L$55,SUM(Popn!E$128:E$132)*Tracks!$L$56,SUM(Popn!E$133:E$137)*Tracks!$L$57,SUM(Popn!E$138:E$142)*Tracks!$L$58,SUM(Popn!E$143:E$147)*Tracks!$L$59,SUM(Popn!E$148:E$152)*Tracks!$L$60,SUM(Popn!E$153:E$157)*Tracks!$L$61,SUM(Popn!E$158:E$162)*Tracks!$L$62,SUM(Popn!E$163:E$167)*Tracks!$L$63,SUM(Popn!E$168:E$172)*Tracks!$L$64,SUM(Popn!E$173:E$177)*Tracks!$L$65,SUM(Popn!E$178:E$182)*Tracks!$L$66,SUM(Popn!E$183:E$187)*Tracks!$L$67,SUM(Popn!E$188:E$193)*Tracks!$L$68)/1000000000</f>
        <v>6.4082597726025421</v>
      </c>
      <c r="F106" s="87">
        <f>SUM(SUM(Popn!F$103:F$107)*Tracks!$L$51,SUM(Popn!F$108:F$112)*Tracks!$L$52,SUM(Popn!F$113:F$117)*Tracks!$L$53,SUM(Popn!F$118:F$122)*Tracks!$L$54,SUM(Popn!F$123:F$127)*Tracks!$L$55,SUM(Popn!F$128:F$132)*Tracks!$L$56,SUM(Popn!F$133:F$137)*Tracks!$L$57,SUM(Popn!F$138:F$142)*Tracks!$L$58,SUM(Popn!F$143:F$147)*Tracks!$L$59,SUM(Popn!F$148:F$152)*Tracks!$L$60,SUM(Popn!F$153:F$157)*Tracks!$L$61,SUM(Popn!F$158:F$162)*Tracks!$L$62,SUM(Popn!F$163:F$167)*Tracks!$L$63,SUM(Popn!F$168:F$172)*Tracks!$L$64,SUM(Popn!F$173:F$177)*Tracks!$L$65,SUM(Popn!F$178:F$182)*Tracks!$L$66,SUM(Popn!F$183:F$187)*Tracks!$L$67,SUM(Popn!F$188:F$193)*Tracks!$L$68)/1000000000</f>
        <v>6.5047757118957161</v>
      </c>
      <c r="G106" s="87">
        <f>SUM(SUM(Popn!G$103:G$107)*Tracks!$L$51,SUM(Popn!G$108:G$112)*Tracks!$L$52,SUM(Popn!G$113:G$117)*Tracks!$L$53,SUM(Popn!G$118:G$122)*Tracks!$L$54,SUM(Popn!G$123:G$127)*Tracks!$L$55,SUM(Popn!G$128:G$132)*Tracks!$L$56,SUM(Popn!G$133:G$137)*Tracks!$L$57,SUM(Popn!G$138:G$142)*Tracks!$L$58,SUM(Popn!G$143:G$147)*Tracks!$L$59,SUM(Popn!G$148:G$152)*Tracks!$L$60,SUM(Popn!G$153:G$157)*Tracks!$L$61,SUM(Popn!G$158:G$162)*Tracks!$L$62,SUM(Popn!G$163:G$167)*Tracks!$L$63,SUM(Popn!G$168:G$172)*Tracks!$L$64,SUM(Popn!G$173:G$177)*Tracks!$L$65,SUM(Popn!G$178:G$182)*Tracks!$L$66,SUM(Popn!G$183:G$187)*Tracks!$L$67,SUM(Popn!G$188:G$193)*Tracks!$L$68)/1000000000</f>
        <v>6.616916150555415</v>
      </c>
      <c r="H106" s="87">
        <f>SUM(SUM(Popn!H$103:H$107)*Tracks!$L$51,SUM(Popn!H$108:H$112)*Tracks!$L$52,SUM(Popn!H$113:H$117)*Tracks!$L$53,SUM(Popn!H$118:H$122)*Tracks!$L$54,SUM(Popn!H$123:H$127)*Tracks!$L$55,SUM(Popn!H$128:H$132)*Tracks!$L$56,SUM(Popn!H$133:H$137)*Tracks!$L$57,SUM(Popn!H$138:H$142)*Tracks!$L$58,SUM(Popn!H$143:H$147)*Tracks!$L$59,SUM(Popn!H$148:H$152)*Tracks!$L$60,SUM(Popn!H$153:H$157)*Tracks!$L$61,SUM(Popn!H$158:H$162)*Tracks!$L$62,SUM(Popn!H$163:H$167)*Tracks!$L$63,SUM(Popn!H$168:H$172)*Tracks!$L$64,SUM(Popn!H$173:H$177)*Tracks!$L$65,SUM(Popn!H$178:H$182)*Tracks!$L$66,SUM(Popn!H$183:H$187)*Tracks!$L$67,SUM(Popn!H$188:H$193)*Tracks!$L$68)/1000000000</f>
        <v>6.7096638322406195</v>
      </c>
      <c r="I106" s="87">
        <f>SUM(SUM(Popn!I$103:I$107)*Tracks!$L$51,SUM(Popn!I$108:I$112)*Tracks!$L$52,SUM(Popn!I$113:I$117)*Tracks!$L$53,SUM(Popn!I$118:I$122)*Tracks!$L$54,SUM(Popn!I$123:I$127)*Tracks!$L$55,SUM(Popn!I$128:I$132)*Tracks!$L$56,SUM(Popn!I$133:I$137)*Tracks!$L$57,SUM(Popn!I$138:I$142)*Tracks!$L$58,SUM(Popn!I$143:I$147)*Tracks!$L$59,SUM(Popn!I$148:I$152)*Tracks!$L$60,SUM(Popn!I$153:I$157)*Tracks!$L$61,SUM(Popn!I$158:I$162)*Tracks!$L$62,SUM(Popn!I$163:I$167)*Tracks!$L$63,SUM(Popn!I$168:I$172)*Tracks!$L$64,SUM(Popn!I$173:I$177)*Tracks!$L$65,SUM(Popn!I$178:I$182)*Tracks!$L$66,SUM(Popn!I$183:I$187)*Tracks!$L$67,SUM(Popn!I$188:I$193)*Tracks!$L$68)/1000000000</f>
        <v>6.7907833884660826</v>
      </c>
      <c r="J106" s="126">
        <f>SUM(SUM(Popn!J$103:J$107)*Tracks!$L$51,SUM(Popn!J$108:J$112)*Tracks!$L$52,SUM(Popn!J$113:J$117)*Tracks!$L$53,SUM(Popn!J$118:J$122)*Tracks!$L$54,SUM(Popn!J$123:J$127)*Tracks!$L$55,SUM(Popn!J$128:J$132)*Tracks!$L$56,SUM(Popn!J$133:J$137)*Tracks!$L$57,SUM(Popn!J$138:J$142)*Tracks!$L$58,SUM(Popn!J$143:J$147)*Tracks!$L$59,SUM(Popn!J$148:J$152)*Tracks!$L$60,SUM(Popn!J$153:J$157)*Tracks!$L$61,SUM(Popn!J$158:J$162)*Tracks!$L$62,SUM(Popn!J$163:J$167)*Tracks!$L$63,SUM(Popn!J$168:J$172)*Tracks!$L$64,SUM(Popn!J$173:J$177)*Tracks!$L$65,SUM(Popn!J$178:J$182)*Tracks!$L$66,SUM(Popn!J$183:J$187)*Tracks!$L$67,SUM(Popn!J$188:J$193)*Tracks!$L$68)/1000000000</f>
        <v>6.8733049444812835</v>
      </c>
      <c r="K106" s="126">
        <f>SUM(SUM(Popn!K$103:K$107)*Tracks!$L$51,SUM(Popn!K$108:K$112)*Tracks!$L$52,SUM(Popn!K$113:K$117)*Tracks!$L$53,SUM(Popn!K$118:K$122)*Tracks!$L$54,SUM(Popn!K$123:K$127)*Tracks!$L$55,SUM(Popn!K$128:K$132)*Tracks!$L$56,SUM(Popn!K$133:K$137)*Tracks!$L$57,SUM(Popn!K$138:K$142)*Tracks!$L$58,SUM(Popn!K$143:K$147)*Tracks!$L$59,SUM(Popn!K$148:K$152)*Tracks!$L$60,SUM(Popn!K$153:K$157)*Tracks!$L$61,SUM(Popn!K$158:K$162)*Tracks!$L$62,SUM(Popn!K$163:K$167)*Tracks!$L$63,SUM(Popn!K$168:K$172)*Tracks!$L$64,SUM(Popn!K$173:K$177)*Tracks!$L$65,SUM(Popn!K$178:K$182)*Tracks!$L$66,SUM(Popn!K$183:K$187)*Tracks!$L$67,SUM(Popn!K$188:K$193)*Tracks!$L$68)/1000000000</f>
        <v>6.9659323654276983</v>
      </c>
      <c r="L106" s="126">
        <f>SUM(SUM(Popn!L$103:L$107)*Tracks!$L$51,SUM(Popn!L$108:L$112)*Tracks!$L$52,SUM(Popn!L$113:L$117)*Tracks!$L$53,SUM(Popn!L$118:L$122)*Tracks!$L$54,SUM(Popn!L$123:L$127)*Tracks!$L$55,SUM(Popn!L$128:L$132)*Tracks!$L$56,SUM(Popn!L$133:L$137)*Tracks!$L$57,SUM(Popn!L$138:L$142)*Tracks!$L$58,SUM(Popn!L$143:L$147)*Tracks!$L$59,SUM(Popn!L$148:L$152)*Tracks!$L$60,SUM(Popn!L$153:L$157)*Tracks!$L$61,SUM(Popn!L$158:L$162)*Tracks!$L$62,SUM(Popn!L$163:L$167)*Tracks!$L$63,SUM(Popn!L$168:L$172)*Tracks!$L$64,SUM(Popn!L$173:L$177)*Tracks!$L$65,SUM(Popn!L$178:L$182)*Tracks!$L$66,SUM(Popn!L$183:L$187)*Tracks!$L$67,SUM(Popn!L$188:L$193)*Tracks!$L$68)/1000000000</f>
        <v>7.0694358262752059</v>
      </c>
      <c r="M106" s="126">
        <f>SUM(SUM(Popn!M$103:M$107)*Tracks!$L$51,SUM(Popn!M$108:M$112)*Tracks!$L$52,SUM(Popn!M$113:M$117)*Tracks!$L$53,SUM(Popn!M$118:M$122)*Tracks!$L$54,SUM(Popn!M$123:M$127)*Tracks!$L$55,SUM(Popn!M$128:M$132)*Tracks!$L$56,SUM(Popn!M$133:M$137)*Tracks!$L$57,SUM(Popn!M$138:M$142)*Tracks!$L$58,SUM(Popn!M$143:M$147)*Tracks!$L$59,SUM(Popn!M$148:M$152)*Tracks!$L$60,SUM(Popn!M$153:M$157)*Tracks!$L$61,SUM(Popn!M$158:M$162)*Tracks!$L$62,SUM(Popn!M$163:M$167)*Tracks!$L$63,SUM(Popn!M$168:M$172)*Tracks!$L$64,SUM(Popn!M$173:M$177)*Tracks!$L$65,SUM(Popn!M$178:M$182)*Tracks!$L$66,SUM(Popn!M$183:M$187)*Tracks!$L$67,SUM(Popn!M$188:M$193)*Tracks!$L$68)/1000000000</f>
        <v>7.1791809094054129</v>
      </c>
      <c r="N106" s="126">
        <f>SUM(SUM(Popn!N$103:N$107)*Tracks!$L$51,SUM(Popn!N$108:N$112)*Tracks!$L$52,SUM(Popn!N$113:N$117)*Tracks!$L$53,SUM(Popn!N$118:N$122)*Tracks!$L$54,SUM(Popn!N$123:N$127)*Tracks!$L$55,SUM(Popn!N$128:N$132)*Tracks!$L$56,SUM(Popn!N$133:N$137)*Tracks!$L$57,SUM(Popn!N$138:N$142)*Tracks!$L$58,SUM(Popn!N$143:N$147)*Tracks!$L$59,SUM(Popn!N$148:N$152)*Tracks!$L$60,SUM(Popn!N$153:N$157)*Tracks!$L$61,SUM(Popn!N$158:N$162)*Tracks!$L$62,SUM(Popn!N$163:N$167)*Tracks!$L$63,SUM(Popn!N$168:N$172)*Tracks!$L$64,SUM(Popn!N$173:N$177)*Tracks!$L$65,SUM(Popn!N$178:N$182)*Tracks!$L$66,SUM(Popn!N$183:N$187)*Tracks!$L$67,SUM(Popn!N$188:N$193)*Tracks!$L$68)/1000000000</f>
        <v>7.2938678968936808</v>
      </c>
      <c r="O106" s="98">
        <f>SUM(SUM(Popn!O$103:O$107)*Tracks!$L$51,SUM(Popn!O$108:O$112)*Tracks!$L$52,SUM(Popn!O$113:O$117)*Tracks!$L$53,SUM(Popn!O$118:O$122)*Tracks!$L$54,SUM(Popn!O$123:O$127)*Tracks!$L$55,SUM(Popn!O$128:O$132)*Tracks!$L$56,SUM(Popn!O$133:O$137)*Tracks!$L$57,SUM(Popn!O$138:O$142)*Tracks!$L$58,SUM(Popn!O$143:O$147)*Tracks!$L$59,SUM(Popn!O$148:O$152)*Tracks!$L$60,SUM(Popn!O$153:O$157)*Tracks!$L$61,SUM(Popn!O$158:O$162)*Tracks!$L$62,SUM(Popn!O$163:O$167)*Tracks!$L$63,SUM(Popn!O$168:O$172)*Tracks!$L$64,SUM(Popn!O$173:O$177)*Tracks!$L$65,SUM(Popn!O$178:O$182)*Tracks!$L$66,SUM(Popn!O$183:O$187)*Tracks!$L$67,SUM(Popn!O$188:O$193)*Tracks!$L$68)/1000000000</f>
        <v>7.4064862241347926</v>
      </c>
      <c r="P106" s="98">
        <f>SUM(SUM(Popn!P$103:P$107)*Tracks!$L$51,SUM(Popn!P$108:P$112)*Tracks!$L$52,SUM(Popn!P$113:P$117)*Tracks!$L$53,SUM(Popn!P$118:P$122)*Tracks!$L$54,SUM(Popn!P$123:P$127)*Tracks!$L$55,SUM(Popn!P$128:P$132)*Tracks!$L$56,SUM(Popn!P$133:P$137)*Tracks!$L$57,SUM(Popn!P$138:P$142)*Tracks!$L$58,SUM(Popn!P$143:P$147)*Tracks!$L$59,SUM(Popn!P$148:P$152)*Tracks!$L$60,SUM(Popn!P$153:P$157)*Tracks!$L$61,SUM(Popn!P$158:P$162)*Tracks!$L$62,SUM(Popn!P$163:P$167)*Tracks!$L$63,SUM(Popn!P$168:P$172)*Tracks!$L$64,SUM(Popn!P$173:P$177)*Tracks!$L$65,SUM(Popn!P$178:P$182)*Tracks!$L$66,SUM(Popn!P$183:P$187)*Tracks!$L$67,SUM(Popn!P$188:P$193)*Tracks!$L$68)/1000000000</f>
        <v>7.5223032657507192</v>
      </c>
      <c r="Q106" s="98">
        <f>SUM(SUM(Popn!Q$103:Q$107)*Tracks!$L$51,SUM(Popn!Q$108:Q$112)*Tracks!$L$52,SUM(Popn!Q$113:Q$117)*Tracks!$L$53,SUM(Popn!Q$118:Q$122)*Tracks!$L$54,SUM(Popn!Q$123:Q$127)*Tracks!$L$55,SUM(Popn!Q$128:Q$132)*Tracks!$L$56,SUM(Popn!Q$133:Q$137)*Tracks!$L$57,SUM(Popn!Q$138:Q$142)*Tracks!$L$58,SUM(Popn!Q$143:Q$147)*Tracks!$L$59,SUM(Popn!Q$148:Q$152)*Tracks!$L$60,SUM(Popn!Q$153:Q$157)*Tracks!$L$61,SUM(Popn!Q$158:Q$162)*Tracks!$L$62,SUM(Popn!Q$163:Q$167)*Tracks!$L$63,SUM(Popn!Q$168:Q$172)*Tracks!$L$64,SUM(Popn!Q$173:Q$177)*Tracks!$L$65,SUM(Popn!Q$178:Q$182)*Tracks!$L$66,SUM(Popn!Q$183:Q$187)*Tracks!$L$67,SUM(Popn!Q$188:Q$193)*Tracks!$L$68)/1000000000</f>
        <v>7.642246107079969</v>
      </c>
      <c r="R106" s="98">
        <f>SUM(SUM(Popn!R$103:R$107)*Tracks!$L$51,SUM(Popn!R$108:R$112)*Tracks!$L$52,SUM(Popn!R$113:R$117)*Tracks!$L$53,SUM(Popn!R$118:R$122)*Tracks!$L$54,SUM(Popn!R$123:R$127)*Tracks!$L$55,SUM(Popn!R$128:R$132)*Tracks!$L$56,SUM(Popn!R$133:R$137)*Tracks!$L$57,SUM(Popn!R$138:R$142)*Tracks!$L$58,SUM(Popn!R$143:R$147)*Tracks!$L$59,SUM(Popn!R$148:R$152)*Tracks!$L$60,SUM(Popn!R$153:R$157)*Tracks!$L$61,SUM(Popn!R$158:R$162)*Tracks!$L$62,SUM(Popn!R$163:R$167)*Tracks!$L$63,SUM(Popn!R$168:R$172)*Tracks!$L$64,SUM(Popn!R$173:R$177)*Tracks!$L$65,SUM(Popn!R$178:R$182)*Tracks!$L$66,SUM(Popn!R$183:R$187)*Tracks!$L$67,SUM(Popn!R$188:R$193)*Tracks!$L$68)/1000000000</f>
        <v>7.7689679139903305</v>
      </c>
      <c r="S106" s="98">
        <f>SUM(SUM(Popn!S$103:S$107)*Tracks!$L$51,SUM(Popn!S$108:S$112)*Tracks!$L$52,SUM(Popn!S$113:S$117)*Tracks!$L$53,SUM(Popn!S$118:S$122)*Tracks!$L$54,SUM(Popn!S$123:S$127)*Tracks!$L$55,SUM(Popn!S$128:S$132)*Tracks!$L$56,SUM(Popn!S$133:S$137)*Tracks!$L$57,SUM(Popn!S$138:S$142)*Tracks!$L$58,SUM(Popn!S$143:S$147)*Tracks!$L$59,SUM(Popn!S$148:S$152)*Tracks!$L$60,SUM(Popn!S$153:S$157)*Tracks!$L$61,SUM(Popn!S$158:S$162)*Tracks!$L$62,SUM(Popn!S$163:S$167)*Tracks!$L$63,SUM(Popn!S$168:S$172)*Tracks!$L$64,SUM(Popn!S$173:S$177)*Tracks!$L$65,SUM(Popn!S$178:S$182)*Tracks!$L$66,SUM(Popn!S$183:S$187)*Tracks!$L$67,SUM(Popn!S$188:S$193)*Tracks!$L$68)/1000000000</f>
        <v>7.903235162627956</v>
      </c>
      <c r="T106" s="98">
        <f>SUM(SUM(Popn!T$103:T$107)*Tracks!$L$51,SUM(Popn!T$108:T$112)*Tracks!$L$52,SUM(Popn!T$113:T$117)*Tracks!$L$53,SUM(Popn!T$118:T$122)*Tracks!$L$54,SUM(Popn!T$123:T$127)*Tracks!$L$55,SUM(Popn!T$128:T$132)*Tracks!$L$56,SUM(Popn!T$133:T$137)*Tracks!$L$57,SUM(Popn!T$138:T$142)*Tracks!$L$58,SUM(Popn!T$143:T$147)*Tracks!$L$59,SUM(Popn!T$148:T$152)*Tracks!$L$60,SUM(Popn!T$153:T$157)*Tracks!$L$61,SUM(Popn!T$158:T$162)*Tracks!$L$62,SUM(Popn!T$163:T$167)*Tracks!$L$63,SUM(Popn!T$168:T$172)*Tracks!$L$64,SUM(Popn!T$173:T$177)*Tracks!$L$65,SUM(Popn!T$178:T$182)*Tracks!$L$66,SUM(Popn!T$183:T$187)*Tracks!$L$67,SUM(Popn!T$188:T$193)*Tracks!$L$68)/1000000000</f>
        <v>8.0329404866295047</v>
      </c>
      <c r="U106" s="98">
        <f>SUM(SUM(Popn!U$103:U$107)*Tracks!$L$51,SUM(Popn!U$108:U$112)*Tracks!$L$52,SUM(Popn!U$113:U$117)*Tracks!$L$53,SUM(Popn!U$118:U$122)*Tracks!$L$54,SUM(Popn!U$123:U$127)*Tracks!$L$55,SUM(Popn!U$128:U$132)*Tracks!$L$56,SUM(Popn!U$133:U$137)*Tracks!$L$57,SUM(Popn!U$138:U$142)*Tracks!$L$58,SUM(Popn!U$143:U$147)*Tracks!$L$59,SUM(Popn!U$148:U$152)*Tracks!$L$60,SUM(Popn!U$153:U$157)*Tracks!$L$61,SUM(Popn!U$158:U$162)*Tracks!$L$62,SUM(Popn!U$163:U$167)*Tracks!$L$63,SUM(Popn!U$168:U$172)*Tracks!$L$64,SUM(Popn!U$173:U$177)*Tracks!$L$65,SUM(Popn!U$178:U$182)*Tracks!$L$66,SUM(Popn!U$183:U$187)*Tracks!$L$67,SUM(Popn!U$188:U$193)*Tracks!$L$68)/1000000000</f>
        <v>8.1666595061244411</v>
      </c>
      <c r="V106" s="98">
        <f>SUM(SUM(Popn!V$103:V$107)*Tracks!$L$51,SUM(Popn!V$108:V$112)*Tracks!$L$52,SUM(Popn!V$113:V$117)*Tracks!$L$53,SUM(Popn!V$118:V$122)*Tracks!$L$54,SUM(Popn!V$123:V$127)*Tracks!$L$55,SUM(Popn!V$128:V$132)*Tracks!$L$56,SUM(Popn!V$133:V$137)*Tracks!$L$57,SUM(Popn!V$138:V$142)*Tracks!$L$58,SUM(Popn!V$143:V$147)*Tracks!$L$59,SUM(Popn!V$148:V$152)*Tracks!$L$60,SUM(Popn!V$153:V$157)*Tracks!$L$61,SUM(Popn!V$158:V$162)*Tracks!$L$62,SUM(Popn!V$163:V$167)*Tracks!$L$63,SUM(Popn!V$168:V$172)*Tracks!$L$64,SUM(Popn!V$173:V$177)*Tracks!$L$65,SUM(Popn!V$178:V$182)*Tracks!$L$66,SUM(Popn!V$183:V$187)*Tracks!$L$67,SUM(Popn!V$188:V$193)*Tracks!$L$68)/1000000000</f>
        <v>8.3047726260938752</v>
      </c>
      <c r="W106" s="98">
        <f>SUM(SUM(Popn!W$103:W$107)*Tracks!$L$51,SUM(Popn!W$108:W$112)*Tracks!$L$52,SUM(Popn!W$113:W$117)*Tracks!$L$53,SUM(Popn!W$118:W$122)*Tracks!$L$54,SUM(Popn!W$123:W$127)*Tracks!$L$55,SUM(Popn!W$128:W$132)*Tracks!$L$56,SUM(Popn!W$133:W$137)*Tracks!$L$57,SUM(Popn!W$138:W$142)*Tracks!$L$58,SUM(Popn!W$143:W$147)*Tracks!$L$59,SUM(Popn!W$148:W$152)*Tracks!$L$60,SUM(Popn!W$153:W$157)*Tracks!$L$61,SUM(Popn!W$158:W$162)*Tracks!$L$62,SUM(Popn!W$163:W$167)*Tracks!$L$63,SUM(Popn!W$168:W$172)*Tracks!$L$64,SUM(Popn!W$173:W$177)*Tracks!$L$65,SUM(Popn!W$178:W$182)*Tracks!$L$66,SUM(Popn!W$183:W$187)*Tracks!$L$67,SUM(Popn!W$188:W$193)*Tracks!$L$68)/1000000000</f>
        <v>8.4479423055320204</v>
      </c>
      <c r="X106" s="98">
        <f>SUM(SUM(Popn!X$103:X$107)*Tracks!$L$51,SUM(Popn!X$108:X$112)*Tracks!$L$52,SUM(Popn!X$113:X$117)*Tracks!$L$53,SUM(Popn!X$118:X$122)*Tracks!$L$54,SUM(Popn!X$123:X$127)*Tracks!$L$55,SUM(Popn!X$128:X$132)*Tracks!$L$56,SUM(Popn!X$133:X$137)*Tracks!$L$57,SUM(Popn!X$138:X$142)*Tracks!$L$58,SUM(Popn!X$143:X$147)*Tracks!$L$59,SUM(Popn!X$148:X$152)*Tracks!$L$60,SUM(Popn!X$153:X$157)*Tracks!$L$61,SUM(Popn!X$158:X$162)*Tracks!$L$62,SUM(Popn!X$163:X$167)*Tracks!$L$63,SUM(Popn!X$168:X$172)*Tracks!$L$64,SUM(Popn!X$173:X$177)*Tracks!$L$65,SUM(Popn!X$178:X$182)*Tracks!$L$66,SUM(Popn!X$183:X$187)*Tracks!$L$67,SUM(Popn!X$188:X$193)*Tracks!$L$68)/1000000000</f>
        <v>8.5968902525123703</v>
      </c>
    </row>
    <row r="107" spans="1:24" x14ac:dyDescent="0.2">
      <c r="A107" s="106"/>
      <c r="B107" s="77"/>
      <c r="C107" s="69"/>
      <c r="D107" s="69"/>
      <c r="E107" s="69"/>
      <c r="F107" s="69"/>
      <c r="G107" s="69"/>
      <c r="H107" s="69"/>
      <c r="I107" s="73"/>
      <c r="J107" s="73"/>
    </row>
    <row r="108" spans="1:24" x14ac:dyDescent="0.2">
      <c r="A108" s="106" t="s">
        <v>904</v>
      </c>
      <c r="B108" s="77"/>
      <c r="C108" s="69"/>
      <c r="D108" s="69"/>
      <c r="E108" s="69"/>
      <c r="F108" s="69"/>
      <c r="G108" s="69"/>
      <c r="H108" s="69"/>
      <c r="I108" s="73"/>
      <c r="J108" s="73"/>
    </row>
    <row r="109" spans="1:24" x14ac:dyDescent="0.2">
      <c r="A109" s="31" t="s">
        <v>894</v>
      </c>
      <c r="B109" s="228"/>
      <c r="C109" s="69"/>
      <c r="D109" s="69">
        <f>Data!C$150</f>
        <v>0.38200000000000001</v>
      </c>
      <c r="E109" s="69">
        <f>Data!D$150</f>
        <v>0.38600000000000001</v>
      </c>
      <c r="F109" s="69">
        <f>Data!E$150</f>
        <v>0.44400000000000001</v>
      </c>
      <c r="G109" s="69">
        <f>Data!F$150</f>
        <v>0.56999999999999995</v>
      </c>
      <c r="H109" s="69">
        <f>Data!G$150</f>
        <v>0.62</v>
      </c>
      <c r="I109" s="69">
        <f>Data!H$150</f>
        <v>0.64400000000000002</v>
      </c>
      <c r="J109" s="123">
        <f>Data!I$150 + IF($I$1="Yes",J$313,0)</f>
        <v>0.59199999999999997</v>
      </c>
      <c r="K109" s="123">
        <f>Data!J$150 + IF($I$1="Yes",K$313,0)</f>
        <v>0.57399999999999995</v>
      </c>
      <c r="L109" s="123">
        <f>Data!K$150 + IF($I$1="Yes",L$313,0)</f>
        <v>0.53600000000000003</v>
      </c>
      <c r="M109" s="123">
        <f>Data!L$150 + IF($I$1="Yes",M$313,0)</f>
        <v>0.52900000000000003</v>
      </c>
      <c r="N109" s="123">
        <f>Data!M$150 + IF($I$1="Yes",N$313,0)</f>
        <v>0.52800000000000002</v>
      </c>
      <c r="O109" s="73">
        <f ca="1">N$109*(1+O$247)*(1+Popn!O$200)</f>
        <v>0.53515633483658909</v>
      </c>
      <c r="P109" s="73">
        <f ca="1">O$109*(1+P$247)*(1+Popn!P$200)</f>
        <v>0.5416530683505536</v>
      </c>
      <c r="Q109" s="73">
        <f ca="1">P$109*(1+Q$247)*(1+Popn!Q$200)</f>
        <v>0.54512198979285686</v>
      </c>
      <c r="R109" s="73">
        <f ca="1">Q$109*(1+R$247)*(1+Popn!R$200)</f>
        <v>0.55016372838389882</v>
      </c>
      <c r="S109" s="73">
        <f ca="1">R$109*(1+S$247)*(1+Popn!S$200)</f>
        <v>0.55956158030276437</v>
      </c>
      <c r="T109" s="73">
        <f ca="1">S$109*(1+T$247)*(1+Popn!T$200)</f>
        <v>0.56871588297732634</v>
      </c>
      <c r="U109" s="73">
        <f ca="1">T$109*(1+U$247)*(1+Popn!U$200)</f>
        <v>0.58112224462882955</v>
      </c>
      <c r="V109" s="73">
        <f ca="1">U$109*(1+V$247)*(1+Popn!V$200)</f>
        <v>0.59486391038173181</v>
      </c>
      <c r="W109" s="73">
        <f ca="1">V$109*(1+W$247)*(1+Popn!W$200)</f>
        <v>0.6136981048721657</v>
      </c>
      <c r="X109" s="73">
        <f ca="1">W$109*(1+X$247)*(1+Popn!X$200)</f>
        <v>0.63486347001119137</v>
      </c>
    </row>
    <row r="110" spans="1:24" x14ac:dyDescent="0.2">
      <c r="A110" s="31" t="s">
        <v>895</v>
      </c>
      <c r="B110" s="77"/>
      <c r="C110" s="69"/>
      <c r="D110" s="69">
        <f t="shared" ref="D110:X110" si="52">SUM(D$191,D$194)</f>
        <v>0.63900000000000001</v>
      </c>
      <c r="E110" s="69">
        <f t="shared" si="52"/>
        <v>0.25600000000000001</v>
      </c>
      <c r="F110" s="69">
        <f t="shared" si="52"/>
        <v>1.3109999999999999</v>
      </c>
      <c r="G110" s="69">
        <f t="shared" si="52"/>
        <v>1.008</v>
      </c>
      <c r="H110" s="69">
        <f t="shared" si="52"/>
        <v>0.58799999999999997</v>
      </c>
      <c r="I110" s="69">
        <f t="shared" si="52"/>
        <v>0.41499999999999998</v>
      </c>
      <c r="J110" s="123">
        <f t="shared" si="52"/>
        <v>0.76</v>
      </c>
      <c r="K110" s="123">
        <f t="shared" si="52"/>
        <v>0.64700000000000002</v>
      </c>
      <c r="L110" s="123">
        <f t="shared" si="52"/>
        <v>0.66400000000000003</v>
      </c>
      <c r="M110" s="123">
        <f t="shared" si="52"/>
        <v>0.67999999999999994</v>
      </c>
      <c r="N110" s="123">
        <f t="shared" si="52"/>
        <v>0.70299999999999996</v>
      </c>
      <c r="O110" s="73">
        <f t="shared" si="52"/>
        <v>0.73465438008616557</v>
      </c>
      <c r="P110" s="73">
        <f t="shared" si="52"/>
        <v>0.76900335088559124</v>
      </c>
      <c r="Q110" s="73">
        <f t="shared" si="52"/>
        <v>0.81114169459071328</v>
      </c>
      <c r="R110" s="73">
        <f t="shared" si="52"/>
        <v>0.84615366203925324</v>
      </c>
      <c r="S110" s="73">
        <f t="shared" si="52"/>
        <v>0.88813403542364766</v>
      </c>
      <c r="T110" s="73">
        <f t="shared" si="52"/>
        <v>0.93509334609861183</v>
      </c>
      <c r="U110" s="73">
        <f t="shared" si="52"/>
        <v>0.97007371948300636</v>
      </c>
      <c r="V110" s="73">
        <f t="shared" si="52"/>
        <v>1.0070435615126856</v>
      </c>
      <c r="W110" s="73">
        <f t="shared" si="52"/>
        <v>1.0502345619913833</v>
      </c>
      <c r="X110" s="73">
        <f t="shared" si="52"/>
        <v>1.0986572522738154</v>
      </c>
    </row>
    <row r="111" spans="1:24" x14ac:dyDescent="0.2">
      <c r="A111" s="31" t="s">
        <v>896</v>
      </c>
      <c r="B111" s="77"/>
      <c r="C111" s="69"/>
      <c r="D111" s="173">
        <f t="shared" ref="D111:I111" si="53">D$112-SUM(D$109:D$110)</f>
        <v>8.2480000000000011</v>
      </c>
      <c r="E111" s="173">
        <f t="shared" si="53"/>
        <v>8.9090000000000007</v>
      </c>
      <c r="F111" s="173">
        <f t="shared" si="53"/>
        <v>9.6999999999999993</v>
      </c>
      <c r="G111" s="173">
        <f t="shared" si="53"/>
        <v>10.146000000000001</v>
      </c>
      <c r="H111" s="173">
        <f t="shared" si="53"/>
        <v>10.442</v>
      </c>
      <c r="I111" s="173">
        <f t="shared" si="53"/>
        <v>10.595000000000001</v>
      </c>
      <c r="J111" s="127">
        <f ca="1">J$112-SUM(J$109:J$110) + IF($I$1="Yes",J$313,0)</f>
        <v>11.003</v>
      </c>
      <c r="K111" s="127">
        <f ca="1">K$112-SUM(K$109:K$110) + IF($I$1="Yes",K$313,0)</f>
        <v>11.167999999999999</v>
      </c>
      <c r="L111" s="127">
        <f ca="1">L$112-SUM(L$109:L$110) + IF($I$1="Yes",L$313,0)</f>
        <v>11.262</v>
      </c>
      <c r="M111" s="127">
        <f ca="1">M$112-SUM(M$109:M$110) + IF($I$1="Yes",M$313,0)</f>
        <v>11.347</v>
      </c>
      <c r="N111" s="127">
        <f ca="1">N$112-SUM(N$109:N$110) + IF($I$1="Yes",N$313,0)</f>
        <v>11.379</v>
      </c>
      <c r="O111" s="269">
        <f ca="1">N$111 +IF(OFFSET(Scenarios!$A$72,0,$C$1)="Yes",(O$148-N$148)*OFFSET(Scenarios!$A$74,0,$C$1),0)</f>
        <v>11.379</v>
      </c>
      <c r="P111" s="269">
        <f ca="1">O$111 +IF(OFFSET(Scenarios!$A$72,0,$C$1)="Yes",(P$148-O$148)*OFFSET(Scenarios!$A$74,0,$C$1),0)</f>
        <v>11.379</v>
      </c>
      <c r="Q111" s="269">
        <f ca="1">P$111 +IF(OFFSET(Scenarios!$A$72,0,$C$1)="Yes",(Q$148-P$148)*OFFSET(Scenarios!$A$74,0,$C$1),0)</f>
        <v>11.379</v>
      </c>
      <c r="R111" s="269">
        <f ca="1">Q$111 +IF(OFFSET(Scenarios!$A$72,0,$C$1)="Yes",(R$148-Q$148)*OFFSET(Scenarios!$A$74,0,$C$1),0)</f>
        <v>11.379</v>
      </c>
      <c r="S111" s="269">
        <f ca="1">R$111 +IF(OFFSET(Scenarios!$A$72,0,$C$1)="Yes",(S$148-R$148)*OFFSET(Scenarios!$A$74,0,$C$1),0)</f>
        <v>11.379</v>
      </c>
      <c r="T111" s="269">
        <f ca="1">S$111 +IF(OFFSET(Scenarios!$A$72,0,$C$1)="Yes",(T$148-S$148)*OFFSET(Scenarios!$A$74,0,$C$1),0)</f>
        <v>11.379</v>
      </c>
      <c r="U111" s="269">
        <f ca="1">T$111 +IF(OFFSET(Scenarios!$A$72,0,$C$1)="Yes",(U$148-T$148)*OFFSET(Scenarios!$A$74,0,$C$1),0)</f>
        <v>11.379</v>
      </c>
      <c r="V111" s="269">
        <f ca="1">U$111 +IF(OFFSET(Scenarios!$A$72,0,$C$1)="Yes",(V$148-U$148)*OFFSET(Scenarios!$A$74,0,$C$1),0)</f>
        <v>11.379</v>
      </c>
      <c r="W111" s="269">
        <f ca="1">V$111 +IF(OFFSET(Scenarios!$A$72,0,$C$1)="Yes",(W$148-V$148)*OFFSET(Scenarios!$A$74,0,$C$1),0)</f>
        <v>11.379</v>
      </c>
      <c r="X111" s="269">
        <f ca="1">W$111 +IF(OFFSET(Scenarios!$A$72,0,$C$1)="Yes",(X$148-W$148)*OFFSET(Scenarios!$A$74,0,$C$1),0)</f>
        <v>11.379</v>
      </c>
    </row>
    <row r="112" spans="1:24" x14ac:dyDescent="0.2">
      <c r="A112" s="27" t="s">
        <v>141</v>
      </c>
      <c r="B112" s="228"/>
      <c r="C112" s="69"/>
      <c r="D112" s="71">
        <f>Data!C$42</f>
        <v>9.2690000000000001</v>
      </c>
      <c r="E112" s="71">
        <f>Data!D$42</f>
        <v>9.5510000000000002</v>
      </c>
      <c r="F112" s="71">
        <f>Data!E$42</f>
        <v>11.455</v>
      </c>
      <c r="G112" s="71">
        <f>Data!F$42</f>
        <v>11.724</v>
      </c>
      <c r="H112" s="71">
        <f>Data!G$42</f>
        <v>11.65</v>
      </c>
      <c r="I112" s="71">
        <f>Data!H$42</f>
        <v>11.654</v>
      </c>
      <c r="J112" s="128">
        <f ca="1">Data!I$42*IF($F$1="Yes",OFFSET('Forecast Adjuster'!$A$67,0,J$289)*OFFSET('Forecast Adjuster'!$A$70,0,J$289),1) + IF(OFFSET(Scenarios!$A$72,0,$C$1)="Yes",OFFSET(Scenarios!$A$74,0,$C$1)*J$148,0) + IF($I$1="Yes",SUM(J$313,J$314),0)</f>
        <v>12.355</v>
      </c>
      <c r="K112" s="128">
        <f ca="1">Data!J$42*IF($F$1="Yes",OFFSET('Forecast Adjuster'!$A$67,0,K$289)*OFFSET('Forecast Adjuster'!$A$70,0,K$289),1) + IF(OFFSET(Scenarios!$A$72,0,$C$1)="Yes",OFFSET(Scenarios!$A$74,0,$C$1)*K$148,0) + IF($I$1="Yes",SUM(K$313,K$314),0)</f>
        <v>12.388999999999999</v>
      </c>
      <c r="L112" s="128">
        <f ca="1">Data!K$42*IF($F$1="Yes",OFFSET('Forecast Adjuster'!$A$67,0,L$289)*OFFSET('Forecast Adjuster'!$A$70,0,L$289),1) + IF(OFFSET(Scenarios!$A$72,0,$C$1)="Yes",OFFSET(Scenarios!$A$74,0,$C$1)*L$148,0) + IF($I$1="Yes",SUM(L$313,L$314),0)</f>
        <v>12.462</v>
      </c>
      <c r="M112" s="128">
        <f ca="1">Data!L$42*IF($F$1="Yes",OFFSET('Forecast Adjuster'!$A$67,0,M$289)*OFFSET('Forecast Adjuster'!$A$70,0,M$289),1) + IF(OFFSET(Scenarios!$A$72,0,$C$1)="Yes",OFFSET(Scenarios!$A$74,0,$C$1)*M$148,0) + IF($I$1="Yes",SUM(M$313,M$314),0)</f>
        <v>12.555999999999999</v>
      </c>
      <c r="N112" s="128">
        <f ca="1">Data!M$42*IF($F$1="Yes",OFFSET('Forecast Adjuster'!$A$67,0,N$289)*OFFSET('Forecast Adjuster'!$A$70,0,N$289),1) + IF(OFFSET(Scenarios!$A$72,0,$C$1)="Yes",OFFSET(Scenarios!$A$74,0,$C$1)*N$148,0) + IF($I$1="Yes",SUM(N$313,N$314),0)</f>
        <v>12.61</v>
      </c>
      <c r="O112" s="75">
        <f t="shared" ref="O112:X112" ca="1" si="54">SUM(O$109:O$111)</f>
        <v>12.648810714922755</v>
      </c>
      <c r="P112" s="75">
        <f t="shared" ca="1" si="54"/>
        <v>12.689656419236144</v>
      </c>
      <c r="Q112" s="75">
        <f t="shared" ca="1" si="54"/>
        <v>12.73526368438357</v>
      </c>
      <c r="R112" s="75">
        <f t="shared" ca="1" si="54"/>
        <v>12.775317390423151</v>
      </c>
      <c r="S112" s="75">
        <f t="shared" ca="1" si="54"/>
        <v>12.826695615726411</v>
      </c>
      <c r="T112" s="75">
        <f t="shared" ca="1" si="54"/>
        <v>12.882809229075939</v>
      </c>
      <c r="U112" s="75">
        <f t="shared" ca="1" si="54"/>
        <v>12.930195964111835</v>
      </c>
      <c r="V112" s="75">
        <f t="shared" ca="1" si="54"/>
        <v>12.980907471894417</v>
      </c>
      <c r="W112" s="75">
        <f t="shared" ca="1" si="54"/>
        <v>13.042932666863548</v>
      </c>
      <c r="X112" s="75">
        <f t="shared" ca="1" si="54"/>
        <v>13.112520722285007</v>
      </c>
    </row>
    <row r="113" spans="1:24" x14ac:dyDescent="0.2">
      <c r="A113" s="27" t="s">
        <v>142</v>
      </c>
      <c r="B113" s="228"/>
      <c r="C113" s="69"/>
      <c r="D113" s="71">
        <f>Data!C$23</f>
        <v>9.8529999999999998</v>
      </c>
      <c r="E113" s="71">
        <f>Data!D$23</f>
        <v>10.397</v>
      </c>
      <c r="F113" s="71">
        <f>Data!E$23</f>
        <v>12.465</v>
      </c>
      <c r="G113" s="71">
        <f>Data!F$23</f>
        <v>12.44</v>
      </c>
      <c r="H113" s="71">
        <f>Data!G$23</f>
        <v>12.406000000000001</v>
      </c>
      <c r="I113" s="71">
        <f>Data!H$23</f>
        <v>12.407</v>
      </c>
      <c r="J113" s="128">
        <f ca="1">Data!I$23 + IF($F$1="Yes",Data!I$42*(OFFSET('Forecast Adjuster'!$A$67,0,J$289)*OFFSET('Forecast Adjuster'!$A$70,0,J$289)-1),0) + IF(OFFSET(Scenarios!$A$72,0,$C$1)="Yes",OFFSET(Scenarios!$A$74,0,$C$1)*J$148,0) + IF($I$1="Yes",SUM(J$313,J$314),0)</f>
        <v>13.119</v>
      </c>
      <c r="K113" s="128">
        <f ca="1">Data!J$23 + IF($F$1="Yes",Data!J$42*(OFFSET('Forecast Adjuster'!$A$67,0,K$289)*OFFSET('Forecast Adjuster'!$A$70,0,K$289)-1),0) + IF(OFFSET(Scenarios!$A$72,0,$C$1)="Yes",OFFSET(Scenarios!$A$74,0,$C$1)*K$148,0) + IF($I$1="Yes",SUM(K$313,K$314),0)</f>
        <v>13.186</v>
      </c>
      <c r="L113" s="128">
        <f ca="1">Data!K$23 + IF($F$1="Yes",Data!K$42*(OFFSET('Forecast Adjuster'!$A$67,0,L$289)*OFFSET('Forecast Adjuster'!$A$70,0,L$289)-1),0) + IF(OFFSET(Scenarios!$A$72,0,$C$1)="Yes",OFFSET(Scenarios!$A$74,0,$C$1)*L$148,0) + IF($I$1="Yes",SUM(L$313,L$314),0)</f>
        <v>13.266</v>
      </c>
      <c r="M113" s="128">
        <f ca="1">Data!L$23 + IF($F$1="Yes",Data!L$42*(OFFSET('Forecast Adjuster'!$A$67,0,M$289)*OFFSET('Forecast Adjuster'!$A$70,0,M$289)-1),0) + IF(OFFSET(Scenarios!$A$72,0,$C$1)="Yes",OFFSET(Scenarios!$A$74,0,$C$1)*M$148,0) + IF($I$1="Yes",SUM(M$313,M$314),0)</f>
        <v>13.38</v>
      </c>
      <c r="N113" s="128">
        <f ca="1">Data!M$23 + IF($F$1="Yes",Data!M$42*(OFFSET('Forecast Adjuster'!$A$67,0,N$289)*OFFSET('Forecast Adjuster'!$A$70,0,N$289)-1),0) + IF(OFFSET(Scenarios!$A$72,0,$C$1)="Yes",OFFSET(Scenarios!$A$74,0,$C$1)*N$148,0) + IF($I$1="Yes",SUM(N$313,N$314),0)</f>
        <v>13.455</v>
      </c>
      <c r="O113" s="75">
        <f ca="1">SUM(O$112,(N$113-N$112)*(1+AVERAGE(Popn!O$198:O$200)))</f>
        <v>13.493379814117477</v>
      </c>
      <c r="P113" s="75">
        <f ca="1">SUM(P$112,(O$113-O$112)*(1+AVERAGE(Popn!P$198:P$200)))</f>
        <v>13.534288152425322</v>
      </c>
      <c r="Q113" s="75">
        <f ca="1">SUM(Q$112,(P$113-P$112)*(1+AVERAGE(Popn!Q$198:Q$200)))</f>
        <v>13.57941212983099</v>
      </c>
      <c r="R113" s="75">
        <f ca="1">SUM(R$112,(Q$113-Q$112)*(1+AVERAGE(Popn!R$198:R$200)))</f>
        <v>13.619769163589812</v>
      </c>
      <c r="S113" s="75">
        <f ca="1">SUM(S$112,(R$113-R$112)*(1+AVERAGE(Popn!S$198:S$200)))</f>
        <v>13.673038350210433</v>
      </c>
      <c r="T113" s="75">
        <f ca="1">SUM(T$112,(S$113-S$112)*(1+AVERAGE(Popn!T$198:T$200)))</f>
        <v>13.730972511434182</v>
      </c>
      <c r="U113" s="75">
        <f ca="1">SUM(U$112,(T$113-T$112)*(1+AVERAGE(Popn!U$198:U$200)))</f>
        <v>13.781152091113565</v>
      </c>
      <c r="V113" s="75">
        <f ca="1">SUM(V$112,(U$113-U$112)*(1+AVERAGE(Popn!V$198:V$200)))</f>
        <v>13.83411328219305</v>
      </c>
      <c r="W113" s="75">
        <f ca="1">SUM(W$112,(V$113-V$112)*(1+AVERAGE(Popn!W$198:W$200)))</f>
        <v>13.899739144794491</v>
      </c>
      <c r="X113" s="75">
        <f ca="1">SUM(X$112,(W$113-W$112)*(1+AVERAGE(Popn!X$198:X$200)))</f>
        <v>13.973955994884459</v>
      </c>
    </row>
    <row r="114" spans="1:24" x14ac:dyDescent="0.2">
      <c r="A114" s="27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1:24" x14ac:dyDescent="0.2">
      <c r="A115" s="106" t="s">
        <v>905</v>
      </c>
      <c r="B115" s="69"/>
      <c r="C115" s="69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x14ac:dyDescent="0.2">
      <c r="A116" s="27" t="s">
        <v>906</v>
      </c>
      <c r="B116" s="228"/>
      <c r="C116" s="69"/>
      <c r="D116" s="71">
        <f>Data!C$46</f>
        <v>2.4049999999999998</v>
      </c>
      <c r="E116" s="71">
        <f>Data!D$46</f>
        <v>2.2440000000000002</v>
      </c>
      <c r="F116" s="71">
        <f>Data!E$46</f>
        <v>2.6629999999999998</v>
      </c>
      <c r="G116" s="71">
        <f>Data!F$46</f>
        <v>2.3450000000000002</v>
      </c>
      <c r="H116" s="71">
        <f>Data!G$46</f>
        <v>2.2810000000000001</v>
      </c>
      <c r="I116" s="71">
        <f>Data!H$46</f>
        <v>2.2320000000000002</v>
      </c>
      <c r="J116" s="128">
        <f>Data!I$46</f>
        <v>2.3519999999999999</v>
      </c>
      <c r="K116" s="128">
        <f>Data!J$46</f>
        <v>2.1619999999999999</v>
      </c>
      <c r="L116" s="128">
        <f>Data!K$46</f>
        <v>2.2189999999999999</v>
      </c>
      <c r="M116" s="128">
        <f>Data!L$46</f>
        <v>2.1469999999999998</v>
      </c>
      <c r="N116" s="128">
        <f>Data!M$46</f>
        <v>2.218</v>
      </c>
      <c r="O116" s="75">
        <f t="shared" ref="O116:X116" ca="1" si="55">N$116*O$52/N$52</f>
        <v>2.3981525770064507</v>
      </c>
      <c r="P116" s="75">
        <f t="shared" ca="1" si="55"/>
        <v>2.5060467891742539</v>
      </c>
      <c r="Q116" s="75">
        <f t="shared" ca="1" si="55"/>
        <v>2.6216840733666213</v>
      </c>
      <c r="R116" s="75">
        <f t="shared" ca="1" si="55"/>
        <v>2.7429789104069511</v>
      </c>
      <c r="S116" s="75">
        <f t="shared" ca="1" si="55"/>
        <v>2.8691158580592027</v>
      </c>
      <c r="T116" s="75">
        <f t="shared" ca="1" si="55"/>
        <v>2.9986543511878092</v>
      </c>
      <c r="U116" s="75">
        <f t="shared" ca="1" si="55"/>
        <v>3.1318955647587909</v>
      </c>
      <c r="V116" s="75">
        <f t="shared" ca="1" si="55"/>
        <v>3.27027556993129</v>
      </c>
      <c r="W116" s="75">
        <f t="shared" ca="1" si="55"/>
        <v>3.4129697792848623</v>
      </c>
      <c r="X116" s="75">
        <f t="shared" ca="1" si="55"/>
        <v>3.5596884348104547</v>
      </c>
    </row>
    <row r="117" spans="1:24" x14ac:dyDescent="0.2">
      <c r="A117" s="27" t="s">
        <v>907</v>
      </c>
      <c r="B117" s="228"/>
      <c r="C117" s="69"/>
      <c r="D117" s="71">
        <f>Data!C$27</f>
        <v>6.99</v>
      </c>
      <c r="E117" s="71">
        <f>Data!D$27</f>
        <v>7.4240000000000004</v>
      </c>
      <c r="F117" s="71">
        <f>Data!E$27</f>
        <v>9.0229999999999997</v>
      </c>
      <c r="G117" s="71">
        <f>Data!F$27</f>
        <v>7.9909999999999997</v>
      </c>
      <c r="H117" s="71">
        <f>Data!G$27</f>
        <v>8.4019999999999992</v>
      </c>
      <c r="I117" s="71">
        <f>Data!H$27</f>
        <v>10.259</v>
      </c>
      <c r="J117" s="128">
        <f>Data!I$27</f>
        <v>8.8049999999999997</v>
      </c>
      <c r="K117" s="128">
        <f>Data!J$27</f>
        <v>8.5960000000000001</v>
      </c>
      <c r="L117" s="128">
        <f>Data!K$27</f>
        <v>8.93</v>
      </c>
      <c r="M117" s="128">
        <f>Data!L$27</f>
        <v>9.1210000000000004</v>
      </c>
      <c r="N117" s="128">
        <f>Data!M$27</f>
        <v>9.4849999999999994</v>
      </c>
      <c r="O117" s="75">
        <f t="shared" ref="O117:X117" ca="1" si="56">SUM(O$116,(N$117-N$116)*(1+O$245))</f>
        <v>9.9912433509293628</v>
      </c>
      <c r="P117" s="75">
        <f t="shared" ca="1" si="56"/>
        <v>10.440754920902513</v>
      </c>
      <c r="Q117" s="75">
        <f t="shared" ca="1" si="56"/>
        <v>10.922525871543495</v>
      </c>
      <c r="R117" s="75">
        <f t="shared" ca="1" si="56"/>
        <v>11.427867460607031</v>
      </c>
      <c r="S117" s="75">
        <f t="shared" ca="1" si="56"/>
        <v>11.953382372218803</v>
      </c>
      <c r="T117" s="75">
        <f t="shared" ca="1" si="56"/>
        <v>12.493068887818314</v>
      </c>
      <c r="U117" s="75">
        <f t="shared" ca="1" si="56"/>
        <v>13.048181770094798</v>
      </c>
      <c r="V117" s="75">
        <f t="shared" ca="1" si="56"/>
        <v>13.624704014691575</v>
      </c>
      <c r="W117" s="75">
        <f t="shared" ca="1" si="56"/>
        <v>14.219200204837932</v>
      </c>
      <c r="X117" s="75">
        <f t="shared" ca="1" si="56"/>
        <v>14.8304631434568</v>
      </c>
    </row>
    <row r="118" spans="1:24" x14ac:dyDescent="0.2">
      <c r="A118" s="27"/>
      <c r="B118" s="100"/>
      <c r="C118" s="69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5"/>
      <c r="U118" s="75"/>
      <c r="V118" s="75"/>
      <c r="W118" s="75"/>
      <c r="X118" s="75"/>
    </row>
    <row r="119" spans="1:24" x14ac:dyDescent="0.2">
      <c r="A119" s="106" t="s">
        <v>908</v>
      </c>
      <c r="B119" s="100"/>
      <c r="C119" s="69"/>
      <c r="D119" s="71"/>
      <c r="E119" s="71"/>
      <c r="F119" s="71"/>
      <c r="G119" s="71"/>
      <c r="H119" s="71"/>
      <c r="I119" s="71"/>
      <c r="J119" s="402"/>
      <c r="K119" s="402"/>
      <c r="L119" s="402"/>
      <c r="M119" s="402"/>
      <c r="N119" s="403"/>
      <c r="O119" s="403"/>
      <c r="P119" s="403"/>
      <c r="Q119" s="403"/>
      <c r="R119" s="403"/>
      <c r="S119" s="403"/>
      <c r="T119" s="75"/>
      <c r="U119" s="75"/>
      <c r="V119" s="75"/>
      <c r="W119" s="75"/>
      <c r="X119" s="75"/>
    </row>
    <row r="120" spans="1:24" x14ac:dyDescent="0.2">
      <c r="A120" s="31" t="s">
        <v>165</v>
      </c>
      <c r="B120" s="228"/>
      <c r="C120" s="69"/>
      <c r="D120" s="69">
        <f>Data!C$152</f>
        <v>0</v>
      </c>
      <c r="E120" s="69">
        <f>Data!D$152</f>
        <v>1.1020000000000001</v>
      </c>
      <c r="F120" s="69">
        <f>Data!E$152</f>
        <v>1.2809999999999999</v>
      </c>
      <c r="G120" s="69">
        <f>Data!F$152</f>
        <v>1.024</v>
      </c>
      <c r="H120" s="69">
        <f>Data!G$152</f>
        <v>1.042</v>
      </c>
      <c r="I120" s="69">
        <f>Data!H$152</f>
        <v>0.68799999999999994</v>
      </c>
      <c r="J120" s="263">
        <f>Data!I$152 + IF($I$1="Yes",J$315,0)</f>
        <v>0.73799999999999999</v>
      </c>
      <c r="K120" s="263">
        <f>Data!J$152 + IF($I$1="Yes",K$315,0)</f>
        <v>0.748</v>
      </c>
      <c r="L120" s="263">
        <f>Data!K$152 + IF($I$1="Yes",L$315,0)</f>
        <v>0.72699999999999998</v>
      </c>
      <c r="M120" s="263">
        <f>Data!L$152 + IF($I$1="Yes",M$315,0)</f>
        <v>0.746</v>
      </c>
      <c r="N120" s="263">
        <f>Data!M$152 + IF($I$1="Yes",N$315,0)</f>
        <v>0.77700000000000002</v>
      </c>
      <c r="O120" s="73">
        <f>Tracks!S$31</f>
        <v>0.81123900000000004</v>
      </c>
      <c r="P120" s="73">
        <f>Tracks!T$31</f>
        <v>0.84864399999999995</v>
      </c>
      <c r="Q120" s="73">
        <f>Tracks!U$31</f>
        <v>0.88611400000000007</v>
      </c>
      <c r="R120" s="73">
        <f>Tracks!V$31</f>
        <v>0.92313900000000004</v>
      </c>
      <c r="S120" s="73">
        <f>Tracks!W$31</f>
        <v>0.96173600000000004</v>
      </c>
      <c r="T120" s="73">
        <f ca="1">S$120*(1+T$245)</f>
        <v>1.0051576805423141</v>
      </c>
      <c r="U120" s="98">
        <f ca="1">T$120*(1+U$245)</f>
        <v>1.0498205237715112</v>
      </c>
      <c r="V120" s="98">
        <f ca="1">U$120*(1+V$245)</f>
        <v>1.096205904926737</v>
      </c>
      <c r="W120" s="98">
        <f ca="1">V$120*(1+W$245)</f>
        <v>1.1440374199007257</v>
      </c>
      <c r="X120" s="98">
        <f ca="1">W$120*(1+X$245)</f>
        <v>1.1932179409641068</v>
      </c>
    </row>
    <row r="121" spans="1:24" x14ac:dyDescent="0.2">
      <c r="A121" s="31" t="s">
        <v>909</v>
      </c>
      <c r="B121" s="100"/>
      <c r="C121" s="69"/>
      <c r="D121" s="173">
        <f>D$122-D$120</f>
        <v>1.595</v>
      </c>
      <c r="E121" s="173">
        <f t="shared" ref="E121:N121" si="57">E$122-E$120</f>
        <v>1.7869999999999997</v>
      </c>
      <c r="F121" s="173">
        <f t="shared" si="57"/>
        <v>1.679</v>
      </c>
      <c r="G121" s="173">
        <f t="shared" si="57"/>
        <v>1.8149999999999999</v>
      </c>
      <c r="H121" s="173">
        <f t="shared" si="57"/>
        <v>1.5669999999999999</v>
      </c>
      <c r="I121" s="173">
        <f t="shared" si="57"/>
        <v>1.4690000000000001</v>
      </c>
      <c r="J121" s="127">
        <f t="shared" ca="1" si="57"/>
        <v>1.3140000000000001</v>
      </c>
      <c r="K121" s="127">
        <f t="shared" ca="1" si="57"/>
        <v>1.4040000000000001</v>
      </c>
      <c r="L121" s="127">
        <f t="shared" ca="1" si="57"/>
        <v>1.3660000000000001</v>
      </c>
      <c r="M121" s="127">
        <f t="shared" ca="1" si="57"/>
        <v>1.3660000000000001</v>
      </c>
      <c r="N121" s="127">
        <f t="shared" ca="1" si="57"/>
        <v>1.3479999999999999</v>
      </c>
      <c r="O121" s="269">
        <f ca="1">N$121 +IF(OFFSET(Scenarios!$A$72,0,$C$1)="Yes",(O$148-N$148)*OFFSET(Scenarios!$A$79,0,$C$1),0)</f>
        <v>1.3479999999999999</v>
      </c>
      <c r="P121" s="269">
        <f ca="1">O$121 +IF(OFFSET(Scenarios!$A$72,0,$C$1)="Yes",(P$148-O$148)*OFFSET(Scenarios!$A$79,0,$C$1),0)</f>
        <v>1.3479999999999999</v>
      </c>
      <c r="Q121" s="269">
        <f ca="1">P$121 +IF(OFFSET(Scenarios!$A$72,0,$C$1)="Yes",(Q$148-P$148)*OFFSET(Scenarios!$A$79,0,$C$1),0)</f>
        <v>1.3479999999999999</v>
      </c>
      <c r="R121" s="269">
        <f ca="1">Q$121 +IF(OFFSET(Scenarios!$A$72,0,$C$1)="Yes",(R$148-Q$148)*OFFSET(Scenarios!$A$79,0,$C$1),0)</f>
        <v>1.3479999999999999</v>
      </c>
      <c r="S121" s="269">
        <f ca="1">R$121 +IF(OFFSET(Scenarios!$A$72,0,$C$1)="Yes",(S$148-R$148)*OFFSET(Scenarios!$A$79,0,$C$1),0)</f>
        <v>1.3479999999999999</v>
      </c>
      <c r="T121" s="269">
        <f ca="1">S$121 +IF(OFFSET(Scenarios!$A$72,0,$C$1)="Yes",(T$148-S$148)*OFFSET(Scenarios!$A$79,0,$C$1),0)</f>
        <v>1.3479999999999999</v>
      </c>
      <c r="U121" s="269">
        <f ca="1">T$121 +IF(OFFSET(Scenarios!$A$72,0,$C$1)="Yes",(U$148-T$148)*OFFSET(Scenarios!$A$79,0,$C$1),0)</f>
        <v>1.3479999999999999</v>
      </c>
      <c r="V121" s="269">
        <f ca="1">U$121 +IF(OFFSET(Scenarios!$A$72,0,$C$1)="Yes",(V$148-U$148)*OFFSET(Scenarios!$A$79,0,$C$1),0)</f>
        <v>1.3479999999999999</v>
      </c>
      <c r="W121" s="269">
        <f ca="1">V$121 +IF(OFFSET(Scenarios!$A$72,0,$C$1)="Yes",(W$148-V$148)*OFFSET(Scenarios!$A$79,0,$C$1),0)</f>
        <v>1.3479999999999999</v>
      </c>
      <c r="X121" s="269">
        <f ca="1">W$121 +IF(OFFSET(Scenarios!$A$72,0,$C$1)="Yes",(X$148-W$148)*OFFSET(Scenarios!$A$79,0,$C$1),0)</f>
        <v>1.3479999999999999</v>
      </c>
    </row>
    <row r="122" spans="1:24" x14ac:dyDescent="0.2">
      <c r="A122" s="27" t="s">
        <v>910</v>
      </c>
      <c r="B122" s="228"/>
      <c r="C122" s="69"/>
      <c r="D122" s="71">
        <f>Data!C$47</f>
        <v>1.595</v>
      </c>
      <c r="E122" s="71">
        <f>Data!D$47</f>
        <v>2.8889999999999998</v>
      </c>
      <c r="F122" s="71">
        <f>Data!E$47</f>
        <v>2.96</v>
      </c>
      <c r="G122" s="71">
        <f>Data!F$47</f>
        <v>2.839</v>
      </c>
      <c r="H122" s="71">
        <f>Data!G$47</f>
        <v>2.609</v>
      </c>
      <c r="I122" s="71">
        <f>Data!H$47</f>
        <v>2.157</v>
      </c>
      <c r="J122" s="128">
        <f ca="1">Data!I$47*IF($F$1="Yes",OFFSET('Forecast Adjuster'!$A$67,0,J$289)*OFFSET('Forecast Adjuster'!$A$70,0,J$289),1) + IF(OFFSET(Scenarios!$A$72,0,$C$1)="Yes",OFFSET(Scenarios!$A$79,0,$C$1)*J$148,0) + IF($I$1="Yes",J$315,0)</f>
        <v>2.052</v>
      </c>
      <c r="K122" s="128">
        <f ca="1">Data!J$47*IF($F$1="Yes",OFFSET('Forecast Adjuster'!$A$67,0,K$289)*OFFSET('Forecast Adjuster'!$A$70,0,K$289),1) + IF(OFFSET(Scenarios!$A$72,0,$C$1)="Yes",OFFSET(Scenarios!$A$79,0,$C$1)*K$148,0) + IF($I$1="Yes",K$315,0)</f>
        <v>2.1520000000000001</v>
      </c>
      <c r="L122" s="128">
        <f ca="1">Data!K$47*IF($F$1="Yes",OFFSET('Forecast Adjuster'!$A$67,0,L$289)*OFFSET('Forecast Adjuster'!$A$70,0,L$289),1) + IF(OFFSET(Scenarios!$A$72,0,$C$1)="Yes",OFFSET(Scenarios!$A$79,0,$C$1)*L$148,0) + IF($I$1="Yes",L$315,0)</f>
        <v>2.093</v>
      </c>
      <c r="M122" s="128">
        <f ca="1">Data!L$47*IF($F$1="Yes",OFFSET('Forecast Adjuster'!$A$67,0,M$289)*OFFSET('Forecast Adjuster'!$A$70,0,M$289),1) + IF(OFFSET(Scenarios!$A$72,0,$C$1)="Yes",OFFSET(Scenarios!$A$79,0,$C$1)*M$148,0) + IF($I$1="Yes",M$315,0)</f>
        <v>2.1120000000000001</v>
      </c>
      <c r="N122" s="128">
        <f ca="1">Data!M$47*IF($F$1="Yes",OFFSET('Forecast Adjuster'!$A$67,0,N$289)*OFFSET('Forecast Adjuster'!$A$70,0,N$289),1) + IF(OFFSET(Scenarios!$A$72,0,$C$1)="Yes",OFFSET(Scenarios!$A$79,0,$C$1)*N$148,0) + IF($I$1="Yes",N$315,0)</f>
        <v>2.125</v>
      </c>
      <c r="O122" s="75">
        <f t="shared" ref="O122:X122" ca="1" si="58">SUM(O$120:O$121)</f>
        <v>2.1592389999999999</v>
      </c>
      <c r="P122" s="75">
        <f t="shared" ca="1" si="58"/>
        <v>2.196644</v>
      </c>
      <c r="Q122" s="75">
        <f t="shared" ca="1" si="58"/>
        <v>2.2341139999999999</v>
      </c>
      <c r="R122" s="75">
        <f t="shared" ca="1" si="58"/>
        <v>2.2711389999999998</v>
      </c>
      <c r="S122" s="75">
        <f t="shared" ca="1" si="58"/>
        <v>2.309736</v>
      </c>
      <c r="T122" s="75">
        <f t="shared" ca="1" si="58"/>
        <v>2.353157680542314</v>
      </c>
      <c r="U122" s="75">
        <f t="shared" ca="1" si="58"/>
        <v>2.3978205237715109</v>
      </c>
      <c r="V122" s="75">
        <f t="shared" ca="1" si="58"/>
        <v>2.4442059049267368</v>
      </c>
      <c r="W122" s="75">
        <f t="shared" ca="1" si="58"/>
        <v>2.4920374199007256</v>
      </c>
      <c r="X122" s="75">
        <f t="shared" ca="1" si="58"/>
        <v>2.5412179409641067</v>
      </c>
    </row>
    <row r="123" spans="1:24" x14ac:dyDescent="0.2">
      <c r="A123" s="27" t="s">
        <v>911</v>
      </c>
      <c r="B123" s="228"/>
      <c r="C123" s="69"/>
      <c r="D123" s="71">
        <f>Data!C$28</f>
        <v>4.7229999999999999</v>
      </c>
      <c r="E123" s="71">
        <f>Data!D$28</f>
        <v>9.0380000000000003</v>
      </c>
      <c r="F123" s="71">
        <f>Data!E$28</f>
        <v>7.6950000000000003</v>
      </c>
      <c r="G123" s="71">
        <f>Data!F$28</f>
        <v>7.5410000000000004</v>
      </c>
      <c r="H123" s="71">
        <f>Data!G$28</f>
        <v>18.818000000000001</v>
      </c>
      <c r="I123" s="71">
        <f>Data!H$28</f>
        <v>10.018000000000001</v>
      </c>
      <c r="J123" s="128">
        <f ca="1">Data!I$28 + IF($F$1="Yes",Data!I$47*(OFFSET('Forecast Adjuster'!$A$67,0,J$289)*OFFSET('Forecast Adjuster'!$A$70,0,J$289)-1),0) + IF(OFFSET(Scenarios!$A$72,0,$C$1)="Yes",OFFSET(Scenarios!$A$79,0,$C$1)*J$148,0) + IF($I$1="Yes",J$315,0)</f>
        <v>8.6340000000000003</v>
      </c>
      <c r="K123" s="128">
        <f ca="1">Data!J$28 + IF($F$1="Yes",Data!J$47*(OFFSET('Forecast Adjuster'!$A$67,0,K$289)*OFFSET('Forecast Adjuster'!$A$70,0,K$289)-1),0) + IF(OFFSET(Scenarios!$A$72,0,$C$1)="Yes",OFFSET(Scenarios!$A$79,0,$C$1)*K$148,0) + IF($I$1="Yes",K$315,0)</f>
        <v>8.0579999999999998</v>
      </c>
      <c r="L123" s="128">
        <f ca="1">Data!K$28 + IF($F$1="Yes",Data!K$47*(OFFSET('Forecast Adjuster'!$A$67,0,L$289)*OFFSET('Forecast Adjuster'!$A$70,0,L$289)-1),0) + IF(OFFSET(Scenarios!$A$72,0,$C$1)="Yes",OFFSET(Scenarios!$A$79,0,$C$1)*L$148,0) + IF($I$1="Yes",L$315,0)</f>
        <v>8.5850000000000009</v>
      </c>
      <c r="M123" s="128">
        <f ca="1">Data!L$28 + IF($F$1="Yes",Data!L$47*(OFFSET('Forecast Adjuster'!$A$67,0,M$289)*OFFSET('Forecast Adjuster'!$A$70,0,M$289)-1),0) + IF(OFFSET(Scenarios!$A$72,0,$C$1)="Yes",OFFSET(Scenarios!$A$79,0,$C$1)*M$148,0) + IF($I$1="Yes",M$315,0)</f>
        <v>8.8079999999999998</v>
      </c>
      <c r="N123" s="128">
        <f ca="1">Data!M$28 + IF($F$1="Yes",Data!M$47*(OFFSET('Forecast Adjuster'!$A$67,0,N$289)*OFFSET('Forecast Adjuster'!$A$70,0,N$289)-1),0) + IF(OFFSET(Scenarios!$A$72,0,$C$1)="Yes",OFFSET(Scenarios!$A$79,0,$C$1)*N$148,0) + IF($I$1="Yes",N$315,0)</f>
        <v>9.157</v>
      </c>
      <c r="O123" s="75">
        <f t="shared" ref="O123:X123" ca="1" si="59">SUM(O$122,(N$123-N$122)*(1+O$245))</f>
        <v>9.5067846615145069</v>
      </c>
      <c r="P123" s="75">
        <f t="shared" ca="1" si="59"/>
        <v>9.8747598087674611</v>
      </c>
      <c r="Q123" s="75">
        <f t="shared" ca="1" si="59"/>
        <v>10.266523457104693</v>
      </c>
      <c r="R123" s="75">
        <f t="shared" ca="1" si="59"/>
        <v>10.675175918261592</v>
      </c>
      <c r="S123" s="75">
        <f t="shared" ca="1" si="59"/>
        <v>11.100235811142195</v>
      </c>
      <c r="T123" s="75">
        <f t="shared" ca="1" si="59"/>
        <v>11.54054216128894</v>
      </c>
      <c r="U123" s="75">
        <f t="shared" ca="1" si="59"/>
        <v>11.993434201482097</v>
      </c>
      <c r="V123" s="75">
        <f t="shared" ca="1" si="59"/>
        <v>12.46379319315494</v>
      </c>
      <c r="W123" s="75">
        <f t="shared" ca="1" si="59"/>
        <v>12.948816331761082</v>
      </c>
      <c r="X123" s="75">
        <f t="shared" ca="1" si="59"/>
        <v>13.44751871861666</v>
      </c>
    </row>
    <row r="124" spans="1:24" x14ac:dyDescent="0.2">
      <c r="A124" s="27"/>
      <c r="B124" s="69"/>
      <c r="C124" s="69"/>
      <c r="D124" s="71"/>
      <c r="E124" s="71"/>
      <c r="F124" s="71"/>
      <c r="G124" s="71"/>
      <c r="H124" s="71"/>
      <c r="I124" s="128"/>
      <c r="J124" s="128"/>
      <c r="K124" s="128"/>
      <c r="L124" s="128"/>
      <c r="M124" s="128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x14ac:dyDescent="0.2">
      <c r="A125" s="106" t="s">
        <v>989</v>
      </c>
      <c r="B125" s="69"/>
      <c r="C125" s="69"/>
      <c r="D125" s="71"/>
      <c r="E125" s="71"/>
      <c r="F125" s="71"/>
      <c r="G125" s="71"/>
      <c r="H125" s="71"/>
      <c r="I125" s="128"/>
      <c r="J125" s="128"/>
      <c r="K125" s="128"/>
      <c r="L125" s="128"/>
      <c r="M125" s="128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x14ac:dyDescent="0.2">
      <c r="A126" s="31" t="s">
        <v>912</v>
      </c>
      <c r="B126" s="228"/>
      <c r="C126" s="69"/>
      <c r="D126" s="69">
        <f>D$218</f>
        <v>0</v>
      </c>
      <c r="E126" s="69">
        <f t="shared" ref="E126:X126" si="60">E$218</f>
        <v>0</v>
      </c>
      <c r="F126" s="69">
        <f t="shared" si="60"/>
        <v>1.7000000000000001E-2</v>
      </c>
      <c r="G126" s="69">
        <f t="shared" si="60"/>
        <v>0.08</v>
      </c>
      <c r="H126" s="69">
        <f t="shared" si="60"/>
        <v>0.86</v>
      </c>
      <c r="I126" s="69">
        <f t="shared" si="60"/>
        <v>0.33400000000000002</v>
      </c>
      <c r="J126" s="123">
        <f t="shared" si="60"/>
        <v>8.0000000000000002E-3</v>
      </c>
      <c r="K126" s="123">
        <f t="shared" si="60"/>
        <v>4.0000000000000001E-3</v>
      </c>
      <c r="L126" s="123">
        <f t="shared" si="60"/>
        <v>4.0000000000000001E-3</v>
      </c>
      <c r="M126" s="123">
        <f t="shared" si="60"/>
        <v>4.0000000000000001E-3</v>
      </c>
      <c r="N126" s="123">
        <f t="shared" si="60"/>
        <v>4.0000000000000001E-3</v>
      </c>
      <c r="O126" s="73">
        <f t="shared" ca="1" si="60"/>
        <v>5.1019104716227013E-3</v>
      </c>
      <c r="P126" s="73">
        <f t="shared" ca="1" si="60"/>
        <v>5.2039486810551558E-3</v>
      </c>
      <c r="Q126" s="73">
        <f t="shared" ca="1" si="60"/>
        <v>5.3080276546762593E-3</v>
      </c>
      <c r="R126" s="73">
        <f t="shared" ca="1" si="60"/>
        <v>5.4141882077697844E-3</v>
      </c>
      <c r="S126" s="73">
        <f t="shared" ca="1" si="60"/>
        <v>5.5224719719251802E-3</v>
      </c>
      <c r="T126" s="73">
        <f t="shared" ca="1" si="60"/>
        <v>5.6329214113636844E-3</v>
      </c>
      <c r="U126" s="73">
        <f t="shared" ca="1" si="60"/>
        <v>5.7455798395909582E-3</v>
      </c>
      <c r="V126" s="73">
        <f t="shared" ca="1" si="60"/>
        <v>5.8604914363827778E-3</v>
      </c>
      <c r="W126" s="73">
        <f t="shared" ca="1" si="60"/>
        <v>5.9777012651104338E-3</v>
      </c>
      <c r="X126" s="73">
        <f t="shared" ca="1" si="60"/>
        <v>6.0972552904126429E-3</v>
      </c>
    </row>
    <row r="127" spans="1:24" x14ac:dyDescent="0.2">
      <c r="A127" s="31" t="s">
        <v>993</v>
      </c>
      <c r="B127" s="69"/>
      <c r="C127" s="69"/>
      <c r="D127" s="173">
        <f>D$128-D$126</f>
        <v>0.32100000000000001</v>
      </c>
      <c r="E127" s="173">
        <f>E$128-E$126</f>
        <v>0.54600000000000004</v>
      </c>
      <c r="F127" s="173">
        <f t="shared" ref="F127:N127" si="61">F$128-F$126</f>
        <v>0.39899999999999997</v>
      </c>
      <c r="G127" s="173">
        <f t="shared" si="61"/>
        <v>0.57100000000000006</v>
      </c>
      <c r="H127" s="173">
        <f t="shared" si="61"/>
        <v>0.3650000000000001</v>
      </c>
      <c r="I127" s="173">
        <f t="shared" si="61"/>
        <v>0.435</v>
      </c>
      <c r="J127" s="127">
        <f t="shared" ca="1" si="61"/>
        <v>0.51100000000000001</v>
      </c>
      <c r="K127" s="127">
        <f t="shared" ca="1" si="61"/>
        <v>0.49199999999999999</v>
      </c>
      <c r="L127" s="127">
        <f t="shared" ca="1" si="61"/>
        <v>0.42399999999999999</v>
      </c>
      <c r="M127" s="127">
        <f t="shared" ca="1" si="61"/>
        <v>0.436</v>
      </c>
      <c r="N127" s="127">
        <f t="shared" ca="1" si="61"/>
        <v>0.42599999999999999</v>
      </c>
      <c r="O127" s="269">
        <f ca="1">N$127 +IF(OFFSET(Scenarios!$A$72,0,$C$1)="Yes",(O$148-N$148)*OFFSET(Scenarios!$A$81,0,$C$1),0)</f>
        <v>0.42599999999999999</v>
      </c>
      <c r="P127" s="269">
        <f ca="1">O$127 +IF(OFFSET(Scenarios!$A$72,0,$C$1)="Yes",(P$148-O$148)*OFFSET(Scenarios!$A$81,0,$C$1),0)</f>
        <v>0.42599999999999999</v>
      </c>
      <c r="Q127" s="269">
        <f ca="1">P$127 +IF(OFFSET(Scenarios!$A$72,0,$C$1)="Yes",(Q$148-P$148)*OFFSET(Scenarios!$A$81,0,$C$1),0)</f>
        <v>0.42599999999999999</v>
      </c>
      <c r="R127" s="269">
        <f ca="1">Q$127 +IF(OFFSET(Scenarios!$A$72,0,$C$1)="Yes",(R$148-Q$148)*OFFSET(Scenarios!$A$81,0,$C$1),0)</f>
        <v>0.42599999999999999</v>
      </c>
      <c r="S127" s="269">
        <f ca="1">R$127 +IF(OFFSET(Scenarios!$A$72,0,$C$1)="Yes",(S$148-R$148)*OFFSET(Scenarios!$A$81,0,$C$1),0)</f>
        <v>0.42599999999999999</v>
      </c>
      <c r="T127" s="269">
        <f ca="1">S$127 +IF(OFFSET(Scenarios!$A$72,0,$C$1)="Yes",(T$148-S$148)*OFFSET(Scenarios!$A$81,0,$C$1),0)</f>
        <v>0.42599999999999999</v>
      </c>
      <c r="U127" s="269">
        <f ca="1">T$127 +IF(OFFSET(Scenarios!$A$72,0,$C$1)="Yes",(U$148-T$148)*OFFSET(Scenarios!$A$81,0,$C$1),0)</f>
        <v>0.42599999999999999</v>
      </c>
      <c r="V127" s="269">
        <f ca="1">U$127 +IF(OFFSET(Scenarios!$A$72,0,$C$1)="Yes",(V$148-U$148)*OFFSET(Scenarios!$A$81,0,$C$1),0)</f>
        <v>0.42599999999999999</v>
      </c>
      <c r="W127" s="269">
        <f ca="1">V$127 +IF(OFFSET(Scenarios!$A$72,0,$C$1)="Yes",(W$148-V$148)*OFFSET(Scenarios!$A$81,0,$C$1),0)</f>
        <v>0.42599999999999999</v>
      </c>
      <c r="X127" s="269">
        <f ca="1">W$127 +IF(OFFSET(Scenarios!$A$72,0,$C$1)="Yes",(X$148-W$148)*OFFSET(Scenarios!$A$81,0,$C$1),0)</f>
        <v>0.42599999999999999</v>
      </c>
    </row>
    <row r="128" spans="1:24" x14ac:dyDescent="0.2">
      <c r="A128" s="27" t="s">
        <v>991</v>
      </c>
      <c r="B128" s="228"/>
      <c r="C128" s="69"/>
      <c r="D128" s="71">
        <f>Data!C$50</f>
        <v>0.32100000000000001</v>
      </c>
      <c r="E128" s="71">
        <f>Data!D$50</f>
        <v>0.54600000000000004</v>
      </c>
      <c r="F128" s="71">
        <f>Data!E$50</f>
        <v>0.41599999999999998</v>
      </c>
      <c r="G128" s="71">
        <f>Data!F$50</f>
        <v>0.65100000000000002</v>
      </c>
      <c r="H128" s="71">
        <f>Data!G$50</f>
        <v>1.2250000000000001</v>
      </c>
      <c r="I128" s="71">
        <f>Data!H$50</f>
        <v>0.76900000000000002</v>
      </c>
      <c r="J128" s="128">
        <f ca="1">Data!I$50*IF($F$1="Yes",OFFSET('Forecast Adjuster'!$A$67,0,J$289)*OFFSET('Forecast Adjuster'!$A$70,0,J$289),1) + IF(OFFSET(Scenarios!$A$72,0,$C$1)="Yes",OFFSET(Scenarios!$A$81,0,$C$1)*J$148,0)</f>
        <v>0.51900000000000002</v>
      </c>
      <c r="K128" s="128">
        <f ca="1">Data!J$50*IF($F$1="Yes",OFFSET('Forecast Adjuster'!$A$67,0,K$289)*OFFSET('Forecast Adjuster'!$A$70,0,K$289),1) + IF(OFFSET(Scenarios!$A$72,0,$C$1)="Yes",OFFSET(Scenarios!$A$81,0,$C$1)*K$148,0)</f>
        <v>0.496</v>
      </c>
      <c r="L128" s="128">
        <f ca="1">Data!K$50*IF($F$1="Yes",OFFSET('Forecast Adjuster'!$A$67,0,L$289)*OFFSET('Forecast Adjuster'!$A$70,0,L$289),1) + IF(OFFSET(Scenarios!$A$72,0,$C$1)="Yes",OFFSET(Scenarios!$A$81,0,$C$1)*L$148,0)</f>
        <v>0.42799999999999999</v>
      </c>
      <c r="M128" s="128">
        <f ca="1">Data!L$50*IF($F$1="Yes",OFFSET('Forecast Adjuster'!$A$67,0,M$289)*OFFSET('Forecast Adjuster'!$A$70,0,M$289),1) + IF(OFFSET(Scenarios!$A$72,0,$C$1)="Yes",OFFSET(Scenarios!$A$81,0,$C$1)*M$148,0)</f>
        <v>0.44</v>
      </c>
      <c r="N128" s="128">
        <f ca="1">Data!M$50*IF($F$1="Yes",OFFSET('Forecast Adjuster'!$A$67,0,N$289)*OFFSET('Forecast Adjuster'!$A$70,0,N$289),1) + IF(OFFSET(Scenarios!$A$72,0,$C$1)="Yes",OFFSET(Scenarios!$A$81,0,$C$1)*N$148,0)</f>
        <v>0.43</v>
      </c>
      <c r="O128" s="75">
        <f t="shared" ref="O128:X128" ca="1" si="62">SUM(O$126:O$127)</f>
        <v>0.43110191047162272</v>
      </c>
      <c r="P128" s="75">
        <f t="shared" ca="1" si="62"/>
        <v>0.43120394868105516</v>
      </c>
      <c r="Q128" s="75">
        <f t="shared" ca="1" si="62"/>
        <v>0.43130802765467624</v>
      </c>
      <c r="R128" s="75">
        <f t="shared" ca="1" si="62"/>
        <v>0.43141418820776978</v>
      </c>
      <c r="S128" s="75">
        <f t="shared" ca="1" si="62"/>
        <v>0.43152247197192517</v>
      </c>
      <c r="T128" s="75">
        <f t="shared" ca="1" si="62"/>
        <v>0.43163292141136367</v>
      </c>
      <c r="U128" s="75">
        <f t="shared" ca="1" si="62"/>
        <v>0.43174557983959094</v>
      </c>
      <c r="V128" s="75">
        <f t="shared" ca="1" si="62"/>
        <v>0.43186049143638278</v>
      </c>
      <c r="W128" s="75">
        <f t="shared" ca="1" si="62"/>
        <v>0.43197770126511043</v>
      </c>
      <c r="X128" s="75">
        <f t="shared" ca="1" si="62"/>
        <v>0.43209725529041265</v>
      </c>
    </row>
    <row r="129" spans="1:24" x14ac:dyDescent="0.2">
      <c r="A129" s="27" t="s">
        <v>992</v>
      </c>
      <c r="B129" s="228"/>
      <c r="C129" s="69"/>
      <c r="D129" s="71">
        <f>Data!C$31</f>
        <v>0.32100000000000001</v>
      </c>
      <c r="E129" s="71">
        <f>Data!D$31</f>
        <v>0.54600000000000004</v>
      </c>
      <c r="F129" s="71">
        <f>Data!E$31</f>
        <v>0.41599999999999998</v>
      </c>
      <c r="G129" s="71">
        <f>Data!F$31</f>
        <v>0.65100000000000002</v>
      </c>
      <c r="H129" s="71">
        <f>Data!G$31</f>
        <v>1.2250000000000001</v>
      </c>
      <c r="I129" s="71">
        <f>Data!H$31</f>
        <v>0.76900000000000002</v>
      </c>
      <c r="J129" s="128">
        <f ca="1">Data!I$31 + IF($F$1="Yes",Data!I$49*(OFFSET('Forecast Adjuster'!$A$67,0,J$289)*OFFSET('Forecast Adjuster'!$A$70,0,J$289)-1),0) + IF(OFFSET(Scenarios!$A$72,0,$C$1)="Yes",OFFSET(Scenarios!$A$81,0,$C$1)*J$148,0)</f>
        <v>0.496</v>
      </c>
      <c r="K129" s="128">
        <f ca="1">Data!J$31 + IF($F$1="Yes",Data!J$49*(OFFSET('Forecast Adjuster'!$A$67,0,K$289)*OFFSET('Forecast Adjuster'!$A$70,0,K$289)-1),0) + IF(OFFSET(Scenarios!$A$72,0,$C$1)="Yes",OFFSET(Scenarios!$A$81,0,$C$1)*K$148,0)</f>
        <v>0.47299999999999998</v>
      </c>
      <c r="L129" s="128">
        <f ca="1">Data!K$31 + IF($F$1="Yes",Data!K$49*(OFFSET('Forecast Adjuster'!$A$67,0,L$289)*OFFSET('Forecast Adjuster'!$A$70,0,L$289)-1),0) + IF(OFFSET(Scenarios!$A$72,0,$C$1)="Yes",OFFSET(Scenarios!$A$81,0,$C$1)*L$148,0)</f>
        <v>0.40400000000000003</v>
      </c>
      <c r="M129" s="128">
        <f ca="1">Data!L$31 + IF($F$1="Yes",Data!L$49*(OFFSET('Forecast Adjuster'!$A$67,0,M$289)*OFFSET('Forecast Adjuster'!$A$70,0,M$289)-1),0) + IF(OFFSET(Scenarios!$A$72,0,$C$1)="Yes",OFFSET(Scenarios!$A$81,0,$C$1)*M$148,0)</f>
        <v>0.41699999999999998</v>
      </c>
      <c r="N129" s="128">
        <f ca="1">Data!M$31 + IF($F$1="Yes",Data!M$49*(OFFSET('Forecast Adjuster'!$A$67,0,N$289)*OFFSET('Forecast Adjuster'!$A$70,0,N$289)-1),0) + IF(OFFSET(Scenarios!$A$72,0,$C$1)="Yes",OFFSET(Scenarios!$A$81,0,$C$1)*N$148,0)</f>
        <v>0.40699999999999997</v>
      </c>
      <c r="O129" s="75">
        <f t="shared" ref="O129:X129" ca="1" si="63">SUM(O$128,(N$129-N$128)*(1+O$245))</f>
        <v>0.40706983564016169</v>
      </c>
      <c r="P129" s="75">
        <f t="shared" ca="1" si="63"/>
        <v>0.40609065749765755</v>
      </c>
      <c r="Q129" s="75">
        <f t="shared" ca="1" si="63"/>
        <v>0.40503592618803685</v>
      </c>
      <c r="R129" s="75">
        <f t="shared" ca="1" si="63"/>
        <v>0.40392658167761947</v>
      </c>
      <c r="S129" s="75">
        <f t="shared" ca="1" si="63"/>
        <v>0.40277083720851919</v>
      </c>
      <c r="T129" s="75">
        <f t="shared" ca="1" si="63"/>
        <v>0.40158317126102627</v>
      </c>
      <c r="U129" s="75">
        <f t="shared" ca="1" si="63"/>
        <v>0.40036060905071957</v>
      </c>
      <c r="V129" s="75">
        <f t="shared" ca="1" si="63"/>
        <v>0.39908880377579564</v>
      </c>
      <c r="W129" s="75">
        <f t="shared" ca="1" si="63"/>
        <v>0.39777606375475943</v>
      </c>
      <c r="X129" s="75">
        <f t="shared" ca="1" si="63"/>
        <v>0.39642533863995633</v>
      </c>
    </row>
    <row r="130" spans="1:24" x14ac:dyDescent="0.2">
      <c r="A130" s="27"/>
      <c r="B130" s="100"/>
      <c r="C130" s="69"/>
      <c r="D130" s="117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">
      <c r="A131" s="106" t="s">
        <v>913</v>
      </c>
      <c r="C131" s="69"/>
      <c r="D131" s="69"/>
      <c r="E131" s="69"/>
      <c r="F131" s="69"/>
      <c r="G131" s="73"/>
      <c r="H131" s="73"/>
      <c r="I131" s="73"/>
      <c r="J131" s="73"/>
    </row>
    <row r="132" spans="1:24" x14ac:dyDescent="0.2">
      <c r="A132" s="157" t="s">
        <v>914</v>
      </c>
      <c r="B132" s="228"/>
      <c r="C132" s="69"/>
      <c r="D132" s="69">
        <f>Data!C$43</f>
        <v>4.8159999999999998</v>
      </c>
      <c r="E132" s="69">
        <f>Data!D$43</f>
        <v>3.371</v>
      </c>
      <c r="F132" s="69">
        <f>Data!E$43</f>
        <v>5.2930000000000001</v>
      </c>
      <c r="G132" s="69">
        <f>Data!F$43</f>
        <v>2.9740000000000002</v>
      </c>
      <c r="H132" s="69">
        <f>Data!G$43</f>
        <v>5.5629999999999997</v>
      </c>
      <c r="I132" s="69">
        <f>Data!H$43</f>
        <v>5.4279999999999999</v>
      </c>
      <c r="J132" s="123">
        <f ca="1">Data!I$43*IF($F$1="Yes",OFFSET('Forecast Adjuster'!$A$67,0,J$289)*OFFSET('Forecast Adjuster'!$A$70,0,J$289),1) + IF(OFFSET(Scenarios!$A$72,0,$C$1)="Yes",OFFSET(Scenarios!$A$76,0,$C$1)*J$148,0)</f>
        <v>5.5720000000000001</v>
      </c>
      <c r="K132" s="123">
        <f ca="1">Data!J$43*IF($F$1="Yes",OFFSET('Forecast Adjuster'!$A$67,0,K$289)*OFFSET('Forecast Adjuster'!$A$70,0,K$289),1) + IF(OFFSET(Scenarios!$A$72,0,$C$1)="Yes",OFFSET(Scenarios!$A$76,0,$C$1)*K$148,0)</f>
        <v>4.6369999999999996</v>
      </c>
      <c r="L132" s="123">
        <f ca="1">Data!K$43*IF($F$1="Yes",OFFSET('Forecast Adjuster'!$A$67,0,L$289)*OFFSET('Forecast Adjuster'!$A$70,0,L$289),1) + IF(OFFSET(Scenarios!$A$72,0,$C$1)="Yes",OFFSET(Scenarios!$A$76,0,$C$1)*L$148,0)</f>
        <v>4.2770000000000001</v>
      </c>
      <c r="M132" s="123">
        <f ca="1">Data!L$43*IF($F$1="Yes",OFFSET('Forecast Adjuster'!$A$67,0,M$289)*OFFSET('Forecast Adjuster'!$A$70,0,M$289),1) + IF(OFFSET(Scenarios!$A$72,0,$C$1)="Yes",OFFSET(Scenarios!$A$76,0,$C$1)*M$148,0)</f>
        <v>4.2779999999999996</v>
      </c>
      <c r="N132" s="123">
        <f ca="1">Data!M$43*IF($F$1="Yes",OFFSET('Forecast Adjuster'!$A$67,0,N$289)*OFFSET('Forecast Adjuster'!$A$70,0,N$289),1) + IF(OFFSET(Scenarios!$A$72,0,$C$1)="Yes",OFFSET(Scenarios!$A$76,0,$C$1)*N$148,0)</f>
        <v>4.2030000000000003</v>
      </c>
      <c r="O132" s="73">
        <f ca="1">N$132 +IF(OFFSET(Scenarios!$A$72,0,$C$1)="Yes",(O$148-N$148)*OFFSET(Scenarios!$A$76,0,$C$1),0)-0.083</f>
        <v>4.12</v>
      </c>
      <c r="P132" s="73">
        <f ca="1">O$132 +IF(OFFSET(Scenarios!$A$72,0,$C$1)="Yes",(P$148-O$148)*OFFSET(Scenarios!$A$76,0,$C$1),0)</f>
        <v>4.12</v>
      </c>
      <c r="Q132" s="73">
        <f ca="1">P$132 +IF(OFFSET(Scenarios!$A$72,0,$C$1)="Yes",(Q$148-P$148)*OFFSET(Scenarios!$A$76,0,$C$1),0)</f>
        <v>4.12</v>
      </c>
      <c r="R132" s="73">
        <f ca="1">Q$132 +IF(OFFSET(Scenarios!$A$72,0,$C$1)="Yes",(R$148-Q$148)*OFFSET(Scenarios!$A$76,0,$C$1),0)</f>
        <v>4.12</v>
      </c>
      <c r="S132" s="73">
        <f ca="1">R$132 +IF(OFFSET(Scenarios!$A$72,0,$C$1)="Yes",(S$148-R$148)*OFFSET(Scenarios!$A$76,0,$C$1),0)</f>
        <v>4.12</v>
      </c>
      <c r="T132" s="73">
        <f ca="1">S$132 +IF(OFFSET(Scenarios!$A$72,0,$C$1)="Yes",(T$148-S$148)*OFFSET(Scenarios!$A$76,0,$C$1),0)</f>
        <v>4.12</v>
      </c>
      <c r="U132" s="73">
        <f ca="1">T$132 +IF(OFFSET(Scenarios!$A$72,0,$C$1)="Yes",(U$148-T$148)*OFFSET(Scenarios!$A$76,0,$C$1),0)</f>
        <v>4.12</v>
      </c>
      <c r="V132" s="73">
        <f ca="1">U$132 +IF(OFFSET(Scenarios!$A$72,0,$C$1)="Yes",(V$148-U$148)*OFFSET(Scenarios!$A$76,0,$C$1),0)</f>
        <v>4.12</v>
      </c>
      <c r="W132" s="73">
        <f ca="1">V$132 +IF(OFFSET(Scenarios!$A$72,0,$C$1)="Yes",(W$148-V$148)*OFFSET(Scenarios!$A$76,0,$C$1),0)</f>
        <v>4.12</v>
      </c>
      <c r="X132" s="73">
        <f ca="1">W$132 +IF(OFFSET(Scenarios!$A$72,0,$C$1)="Yes",(X$148-W$148)*OFFSET(Scenarios!$A$76,0,$C$1),0)</f>
        <v>4.12</v>
      </c>
    </row>
    <row r="133" spans="1:24" x14ac:dyDescent="0.2">
      <c r="A133" s="68" t="s">
        <v>358</v>
      </c>
      <c r="B133" s="228"/>
      <c r="C133" s="69"/>
      <c r="D133" s="69">
        <f>Data!C$44</f>
        <v>2.6989999999999998</v>
      </c>
      <c r="E133" s="69">
        <f>Data!D$44</f>
        <v>2.8940000000000001</v>
      </c>
      <c r="F133" s="69">
        <f>Data!E$44</f>
        <v>3.089</v>
      </c>
      <c r="G133" s="69">
        <f>Data!F$44</f>
        <v>3.1909999999999998</v>
      </c>
      <c r="H133" s="69">
        <f>Data!G$44</f>
        <v>3.3820000000000001</v>
      </c>
      <c r="I133" s="69">
        <f>Data!H$44</f>
        <v>3.403</v>
      </c>
      <c r="J133" s="123">
        <f ca="1">Data!I$44*IF($F$1="Yes",OFFSET('Forecast Adjuster'!$A$67,0,J$289)*OFFSET('Forecast Adjuster'!$A$70,0,J$289),1) + IF(OFFSET(Scenarios!$A$72,0,$C$1)="Yes",OFFSET(Scenarios!$A$77,0,$C$1)*J$148,0)</f>
        <v>3.5110000000000001</v>
      </c>
      <c r="K133" s="123">
        <f ca="1">Data!J$44*IF($F$1="Yes",OFFSET('Forecast Adjuster'!$A$67,0,K$289)*OFFSET('Forecast Adjuster'!$A$70,0,K$289),1) + IF(OFFSET(Scenarios!$A$72,0,$C$1)="Yes",OFFSET(Scenarios!$A$77,0,$C$1)*K$148,0)</f>
        <v>3.5609999999999999</v>
      </c>
      <c r="L133" s="123">
        <f ca="1">Data!K$44*IF($F$1="Yes",OFFSET('Forecast Adjuster'!$A$67,0,L$289)*OFFSET('Forecast Adjuster'!$A$70,0,L$289),1) + IF(OFFSET(Scenarios!$A$72,0,$C$1)="Yes",OFFSET(Scenarios!$A$77,0,$C$1)*L$148,0)</f>
        <v>3.45</v>
      </c>
      <c r="M133" s="123">
        <f ca="1">Data!L$44*IF($F$1="Yes",OFFSET('Forecast Adjuster'!$A$67,0,M$289)*OFFSET('Forecast Adjuster'!$A$70,0,M$289),1) + IF(OFFSET(Scenarios!$A$72,0,$C$1)="Yes",OFFSET(Scenarios!$A$77,0,$C$1)*M$148,0)</f>
        <v>3.508</v>
      </c>
      <c r="N133" s="123">
        <f ca="1">Data!M$44*IF($F$1="Yes",OFFSET('Forecast Adjuster'!$A$67,0,N$289)*OFFSET('Forecast Adjuster'!$A$70,0,N$289),1) + IF(OFFSET(Scenarios!$A$72,0,$C$1)="Yes",OFFSET(Scenarios!$A$77,0,$C$1)*N$148,0)</f>
        <v>3.4809999999999999</v>
      </c>
      <c r="O133" s="73">
        <f ca="1">N$133 +IF(OFFSET(Scenarios!$A$72,0,$C$1)="Yes",(O$148-N$148)*OFFSET(Scenarios!$A$77,0,$C$1),0)</f>
        <v>3.4809999999999999</v>
      </c>
      <c r="P133" s="73">
        <f ca="1">O$133 +IF(OFFSET(Scenarios!$A$72,0,$C$1)="Yes",(P$148-O$148)*OFFSET(Scenarios!$A$77,0,$C$1),0)</f>
        <v>3.4809999999999999</v>
      </c>
      <c r="Q133" s="73">
        <f ca="1">P$133 +IF(OFFSET(Scenarios!$A$72,0,$C$1)="Yes",(Q$148-P$148)*OFFSET(Scenarios!$A$77,0,$C$1),0)</f>
        <v>3.4809999999999999</v>
      </c>
      <c r="R133" s="73">
        <f ca="1">Q$133 +IF(OFFSET(Scenarios!$A$72,0,$C$1)="Yes",(R$148-Q$148)*OFFSET(Scenarios!$A$77,0,$C$1),0)</f>
        <v>3.4809999999999999</v>
      </c>
      <c r="S133" s="73">
        <f ca="1">R$133 +IF(OFFSET(Scenarios!$A$72,0,$C$1)="Yes",(S$148-R$148)*OFFSET(Scenarios!$A$77,0,$C$1),0)</f>
        <v>3.4809999999999999</v>
      </c>
      <c r="T133" s="73">
        <f ca="1">S$133 +IF(OFFSET(Scenarios!$A$72,0,$C$1)="Yes",(T$148-S$148)*OFFSET(Scenarios!$A$77,0,$C$1),0)</f>
        <v>3.4809999999999999</v>
      </c>
      <c r="U133" s="73">
        <f ca="1">T$133 +IF(OFFSET(Scenarios!$A$72,0,$C$1)="Yes",(U$148-T$148)*OFFSET(Scenarios!$A$77,0,$C$1),0)</f>
        <v>3.4809999999999999</v>
      </c>
      <c r="V133" s="73">
        <f ca="1">U$133 +IF(OFFSET(Scenarios!$A$72,0,$C$1)="Yes",(V$148-U$148)*OFFSET(Scenarios!$A$77,0,$C$1),0)</f>
        <v>3.4809999999999999</v>
      </c>
      <c r="W133" s="73">
        <f ca="1">V$133 +IF(OFFSET(Scenarios!$A$72,0,$C$1)="Yes",(W$148-V$148)*OFFSET(Scenarios!$A$77,0,$C$1),0)</f>
        <v>3.4809999999999999</v>
      </c>
      <c r="X133" s="73">
        <f ca="1">W$133 +IF(OFFSET(Scenarios!$A$72,0,$C$1)="Yes",(X$148-W$148)*OFFSET(Scenarios!$A$77,0,$C$1),0)</f>
        <v>3.4809999999999999</v>
      </c>
    </row>
    <row r="134" spans="1:24" x14ac:dyDescent="0.2">
      <c r="A134" s="68" t="s">
        <v>433</v>
      </c>
      <c r="B134" s="228"/>
      <c r="C134" s="69"/>
      <c r="D134" s="69">
        <f>Data!C$45</f>
        <v>1.5169999999999999</v>
      </c>
      <c r="E134" s="69">
        <f>Data!D$45</f>
        <v>1.5620000000000001</v>
      </c>
      <c r="F134" s="69">
        <f>Data!E$45</f>
        <v>1.7569999999999999</v>
      </c>
      <c r="G134" s="69">
        <f>Data!F$45</f>
        <v>1.8140000000000001</v>
      </c>
      <c r="H134" s="69">
        <f>Data!G$45</f>
        <v>1.8089999999999999</v>
      </c>
      <c r="I134" s="69">
        <f>Data!H$45</f>
        <v>1.736</v>
      </c>
      <c r="J134" s="123">
        <f ca="1">Data!I$45*IF($F$1="Yes",OFFSET('Forecast Adjuster'!$A$67,0,J$289)*OFFSET('Forecast Adjuster'!$A$70,0,J$289),1) + IF(OFFSET(Scenarios!$A$72,0,$C$1)="Yes",OFFSET(Scenarios!$A$78,0,$C$1)*J$148,0)</f>
        <v>1.8220000000000001</v>
      </c>
      <c r="K134" s="123">
        <f ca="1">Data!J$45*IF($F$1="Yes",OFFSET('Forecast Adjuster'!$A$67,0,K$289)*OFFSET('Forecast Adjuster'!$A$70,0,K$289),1) + IF(OFFSET(Scenarios!$A$72,0,$C$1)="Yes",OFFSET(Scenarios!$A$78,0,$C$1)*K$148,0)</f>
        <v>1.9330000000000001</v>
      </c>
      <c r="L134" s="123">
        <f ca="1">Data!K$45*IF($F$1="Yes",OFFSET('Forecast Adjuster'!$A$67,0,L$289)*OFFSET('Forecast Adjuster'!$A$70,0,L$289),1) + IF(OFFSET(Scenarios!$A$72,0,$C$1)="Yes",OFFSET(Scenarios!$A$78,0,$C$1)*L$148,0)</f>
        <v>1.9</v>
      </c>
      <c r="M134" s="123">
        <f ca="1">Data!L$45*IF($F$1="Yes",OFFSET('Forecast Adjuster'!$A$67,0,M$289)*OFFSET('Forecast Adjuster'!$A$70,0,M$289),1) + IF(OFFSET(Scenarios!$A$72,0,$C$1)="Yes",OFFSET(Scenarios!$A$78,0,$C$1)*M$148,0)</f>
        <v>1.952</v>
      </c>
      <c r="N134" s="123">
        <f ca="1">Data!M$45*IF($F$1="Yes",OFFSET('Forecast Adjuster'!$A$67,0,N$289)*OFFSET('Forecast Adjuster'!$A$70,0,N$289),1) + IF(OFFSET(Scenarios!$A$72,0,$C$1)="Yes",OFFSET(Scenarios!$A$78,0,$C$1)*N$148,0)</f>
        <v>1.857</v>
      </c>
      <c r="O134" s="73">
        <f ca="1">N$134 +IF(OFFSET(Scenarios!$A$72,0,$C$1)="Yes",(O$148-N$148)*OFFSET(Scenarios!$A$78,0,$C$1),0)</f>
        <v>1.857</v>
      </c>
      <c r="P134" s="73">
        <f ca="1">O$134 +IF(OFFSET(Scenarios!$A$72,0,$C$1)="Yes",(P$148-O$148)*OFFSET(Scenarios!$A$78,0,$C$1),0)</f>
        <v>1.857</v>
      </c>
      <c r="Q134" s="73">
        <f ca="1">P$134 +IF(OFFSET(Scenarios!$A$72,0,$C$1)="Yes",(Q$148-P$148)*OFFSET(Scenarios!$A$78,0,$C$1),0)</f>
        <v>1.857</v>
      </c>
      <c r="R134" s="73">
        <f ca="1">Q$134 +IF(OFFSET(Scenarios!$A$72,0,$C$1)="Yes",(R$148-Q$148)*OFFSET(Scenarios!$A$78,0,$C$1),0)</f>
        <v>1.857</v>
      </c>
      <c r="S134" s="73">
        <f ca="1">R$134 +IF(OFFSET(Scenarios!$A$72,0,$C$1)="Yes",(S$148-R$148)*OFFSET(Scenarios!$A$78,0,$C$1),0)</f>
        <v>1.857</v>
      </c>
      <c r="T134" s="73">
        <f ca="1">S$134 +IF(OFFSET(Scenarios!$A$72,0,$C$1)="Yes",(T$148-S$148)*OFFSET(Scenarios!$A$78,0,$C$1),0)</f>
        <v>1.857</v>
      </c>
      <c r="U134" s="73">
        <f ca="1">T$134 +IF(OFFSET(Scenarios!$A$72,0,$C$1)="Yes",(U$148-T$148)*OFFSET(Scenarios!$A$78,0,$C$1),0)</f>
        <v>1.857</v>
      </c>
      <c r="V134" s="73">
        <f ca="1">U$134 +IF(OFFSET(Scenarios!$A$72,0,$C$1)="Yes",(V$148-U$148)*OFFSET(Scenarios!$A$78,0,$C$1),0)</f>
        <v>1.857</v>
      </c>
      <c r="W134" s="73">
        <f ca="1">V$134 +IF(OFFSET(Scenarios!$A$72,0,$C$1)="Yes",(W$148-V$148)*OFFSET(Scenarios!$A$78,0,$C$1),0)</f>
        <v>1.857</v>
      </c>
      <c r="X134" s="73">
        <f ca="1">W$134 +IF(OFFSET(Scenarios!$A$72,0,$C$1)="Yes",(X$148-W$148)*OFFSET(Scenarios!$A$78,0,$C$1),0)</f>
        <v>1.857</v>
      </c>
    </row>
    <row r="135" spans="1:24" x14ac:dyDescent="0.2">
      <c r="A135" s="68" t="s">
        <v>915</v>
      </c>
      <c r="B135" s="228"/>
      <c r="C135" s="69"/>
      <c r="D135" s="69">
        <f>Data!C$48</f>
        <v>0.438</v>
      </c>
      <c r="E135" s="69">
        <f>Data!D$48</f>
        <v>0.54100000000000004</v>
      </c>
      <c r="F135" s="69">
        <f>Data!E$48</f>
        <v>0.53400000000000003</v>
      </c>
      <c r="G135" s="69">
        <f>Data!F$48</f>
        <v>0.50700000000000001</v>
      </c>
      <c r="H135" s="69">
        <f>Data!G$48</f>
        <v>0.70599999999999996</v>
      </c>
      <c r="I135" s="69">
        <f>Data!H$48</f>
        <v>0.64800000000000002</v>
      </c>
      <c r="J135" s="123">
        <f ca="1">Data!I$48*IF($F$1="Yes",OFFSET('Forecast Adjuster'!$A$67,0,J$289)*OFFSET('Forecast Adjuster'!$A$70,0,J$289),1) + IF(OFFSET(Scenarios!$A$72,0,$C$1)="Yes",OFFSET(Scenarios!$A$80,0,$C$1)*J$148,0)</f>
        <v>0.68400000000000005</v>
      </c>
      <c r="K135" s="123">
        <f ca="1">Data!J$48*IF($F$1="Yes",OFFSET('Forecast Adjuster'!$A$67,0,K$289)*OFFSET('Forecast Adjuster'!$A$70,0,K$289),1) + IF(OFFSET(Scenarios!$A$72,0,$C$1)="Yes",OFFSET(Scenarios!$A$80,0,$C$1)*K$148,0)</f>
        <v>0.81799999999999995</v>
      </c>
      <c r="L135" s="123">
        <f ca="1">Data!K$48*IF($F$1="Yes",OFFSET('Forecast Adjuster'!$A$67,0,L$289)*OFFSET('Forecast Adjuster'!$A$70,0,L$289),1) + IF(OFFSET(Scenarios!$A$72,0,$C$1)="Yes",OFFSET(Scenarios!$A$80,0,$C$1)*L$148,0)</f>
        <v>0.72499999999999998</v>
      </c>
      <c r="M135" s="123">
        <f ca="1">Data!L$48*IF($F$1="Yes",OFFSET('Forecast Adjuster'!$A$67,0,M$289)*OFFSET('Forecast Adjuster'!$A$70,0,M$289),1) + IF(OFFSET(Scenarios!$A$72,0,$C$1)="Yes",OFFSET(Scenarios!$A$80,0,$C$1)*M$148,0)</f>
        <v>0.69799999999999995</v>
      </c>
      <c r="N135" s="123">
        <f ca="1">Data!M$48*IF($F$1="Yes",OFFSET('Forecast Adjuster'!$A$67,0,N$289)*OFFSET('Forecast Adjuster'!$A$70,0,N$289),1) + IF(OFFSET(Scenarios!$A$72,0,$C$1)="Yes",OFFSET(Scenarios!$A$80,0,$C$1)*N$148,0)</f>
        <v>0.66900000000000004</v>
      </c>
      <c r="O135" s="73">
        <f ca="1">N$135 +IF(OFFSET(Scenarios!$A$72,0,$C$1)="Yes",(O$148-N$148)*OFFSET(Scenarios!$A$80,0,$C$1),0)</f>
        <v>0.66900000000000004</v>
      </c>
      <c r="P135" s="73">
        <f ca="1">O$135 +IF(OFFSET(Scenarios!$A$72,0,$C$1)="Yes",(P$148-O$148)*OFFSET(Scenarios!$A$80,0,$C$1),0)</f>
        <v>0.66900000000000004</v>
      </c>
      <c r="Q135" s="73">
        <f ca="1">P$135 +IF(OFFSET(Scenarios!$A$72,0,$C$1)="Yes",(Q$148-P$148)*OFFSET(Scenarios!$A$80,0,$C$1),0)</f>
        <v>0.66900000000000004</v>
      </c>
      <c r="R135" s="73">
        <f ca="1">Q$135 +IF(OFFSET(Scenarios!$A$72,0,$C$1)="Yes",(R$148-Q$148)*OFFSET(Scenarios!$A$80,0,$C$1),0)</f>
        <v>0.66900000000000004</v>
      </c>
      <c r="S135" s="73">
        <f ca="1">R$135 +IF(OFFSET(Scenarios!$A$72,0,$C$1)="Yes",(S$148-R$148)*OFFSET(Scenarios!$A$80,0,$C$1),0)</f>
        <v>0.66900000000000004</v>
      </c>
      <c r="T135" s="73">
        <f ca="1">S$135 +IF(OFFSET(Scenarios!$A$72,0,$C$1)="Yes",(T$148-S$148)*OFFSET(Scenarios!$A$80,0,$C$1),0)</f>
        <v>0.66900000000000004</v>
      </c>
      <c r="U135" s="73">
        <f ca="1">T$135 +IF(OFFSET(Scenarios!$A$72,0,$C$1)="Yes",(U$148-T$148)*OFFSET(Scenarios!$A$80,0,$C$1),0)</f>
        <v>0.66900000000000004</v>
      </c>
      <c r="V135" s="73">
        <f ca="1">U$135 +IF(OFFSET(Scenarios!$A$72,0,$C$1)="Yes",(V$148-U$148)*OFFSET(Scenarios!$A$80,0,$C$1),0)</f>
        <v>0.66900000000000004</v>
      </c>
      <c r="W135" s="73">
        <f ca="1">V$135 +IF(OFFSET(Scenarios!$A$72,0,$C$1)="Yes",(W$148-V$148)*OFFSET(Scenarios!$A$80,0,$C$1),0)</f>
        <v>0.66900000000000004</v>
      </c>
      <c r="X135" s="73">
        <f ca="1">W$135 +IF(OFFSET(Scenarios!$A$72,0,$C$1)="Yes",(X$148-W$148)*OFFSET(Scenarios!$A$80,0,$C$1),0)</f>
        <v>0.66900000000000004</v>
      </c>
    </row>
    <row r="136" spans="1:24" x14ac:dyDescent="0.2">
      <c r="A136" s="68" t="s">
        <v>990</v>
      </c>
      <c r="B136" s="228"/>
      <c r="C136" s="69"/>
      <c r="D136" s="69">
        <f>Data!C$49</f>
        <v>0.52300000000000002</v>
      </c>
      <c r="E136" s="69">
        <f>Data!D$49</f>
        <v>0.56100000000000005</v>
      </c>
      <c r="F136" s="69">
        <f>Data!E$49</f>
        <v>0.58599999999999997</v>
      </c>
      <c r="G136" s="69">
        <f>Data!F$49</f>
        <v>0.63</v>
      </c>
      <c r="H136" s="69">
        <f>Data!G$49</f>
        <v>0.74099999999999999</v>
      </c>
      <c r="I136" s="69">
        <f>Data!H$49</f>
        <v>0.86299999999999999</v>
      </c>
      <c r="J136" s="123">
        <f ca="1">Data!I$49*IF($F$1="Yes",OFFSET('Forecast Adjuster'!$A$67,0,J$289)*OFFSET('Forecast Adjuster'!$A$70,0,J$289),1) + IF(OFFSET(Scenarios!$A$72,0,$C$1)="Yes",OFFSET(Scenarios!$A$82,0,$C$1)*J$148,0)</f>
        <v>0.84199999999999997</v>
      </c>
      <c r="K136" s="123">
        <f ca="1">Data!J$49*IF($F$1="Yes",OFFSET('Forecast Adjuster'!$A$67,0,K$289)*OFFSET('Forecast Adjuster'!$A$70,0,K$289),1) + IF(OFFSET(Scenarios!$A$72,0,$C$1)="Yes",OFFSET(Scenarios!$A$82,0,$C$1)*K$148,0)</f>
        <v>0.85399999999999998</v>
      </c>
      <c r="L136" s="123">
        <f ca="1">Data!K$49*IF($F$1="Yes",OFFSET('Forecast Adjuster'!$A$67,0,L$289)*OFFSET('Forecast Adjuster'!$A$70,0,L$289),1) + IF(OFFSET(Scenarios!$A$72,0,$C$1)="Yes",OFFSET(Scenarios!$A$82,0,$C$1)*L$148,0)</f>
        <v>0.80800000000000005</v>
      </c>
      <c r="M136" s="123">
        <f ca="1">Data!L$49*IF($F$1="Yes",OFFSET('Forecast Adjuster'!$A$67,0,M$289)*OFFSET('Forecast Adjuster'!$A$70,0,M$289),1) + IF(OFFSET(Scenarios!$A$72,0,$C$1)="Yes",OFFSET(Scenarios!$A$82,0,$C$1)*M$148,0)</f>
        <v>0.80100000000000005</v>
      </c>
      <c r="N136" s="123">
        <f ca="1">Data!M$49*IF($F$1="Yes",OFFSET('Forecast Adjuster'!$A$67,0,N$289)*OFFSET('Forecast Adjuster'!$A$70,0,N$289),1) + IF(OFFSET(Scenarios!$A$72,0,$C$1)="Yes",OFFSET(Scenarios!$A$82,0,$C$1)*N$148,0)</f>
        <v>0.79900000000000004</v>
      </c>
      <c r="O136" s="73">
        <f ca="1">N$136 +IF(OFFSET(Scenarios!$A$72,0,$C$1)="Yes",(O$148-N$148)*OFFSET(Scenarios!$A$82,0,$C$1),0)</f>
        <v>0.79900000000000004</v>
      </c>
      <c r="P136" s="73">
        <f ca="1">O$136 +IF(OFFSET(Scenarios!$A$72,0,$C$1)="Yes",(P$148-O$148)*OFFSET(Scenarios!$A$82,0,$C$1),0)</f>
        <v>0.79900000000000004</v>
      </c>
      <c r="Q136" s="73">
        <f ca="1">P$136 +IF(OFFSET(Scenarios!$A$72,0,$C$1)="Yes",(Q$148-P$148)*OFFSET(Scenarios!$A$82,0,$C$1),0)</f>
        <v>0.79900000000000004</v>
      </c>
      <c r="R136" s="73">
        <f ca="1">Q$136 +IF(OFFSET(Scenarios!$A$72,0,$C$1)="Yes",(R$148-Q$148)*OFFSET(Scenarios!$A$82,0,$C$1),0)</f>
        <v>0.79900000000000004</v>
      </c>
      <c r="S136" s="73">
        <f ca="1">R$136 +IF(OFFSET(Scenarios!$A$72,0,$C$1)="Yes",(S$148-R$148)*OFFSET(Scenarios!$A$82,0,$C$1),0)</f>
        <v>0.79900000000000004</v>
      </c>
      <c r="T136" s="73">
        <f ca="1">S$136 +IF(OFFSET(Scenarios!$A$72,0,$C$1)="Yes",(T$148-S$148)*OFFSET(Scenarios!$A$82,0,$C$1),0)</f>
        <v>0.79900000000000004</v>
      </c>
      <c r="U136" s="73">
        <f ca="1">T$136 +IF(OFFSET(Scenarios!$A$72,0,$C$1)="Yes",(U$148-T$148)*OFFSET(Scenarios!$A$82,0,$C$1),0)</f>
        <v>0.79900000000000004</v>
      </c>
      <c r="V136" s="73">
        <f ca="1">U$136 +IF(OFFSET(Scenarios!$A$72,0,$C$1)="Yes",(V$148-U$148)*OFFSET(Scenarios!$A$82,0,$C$1),0)</f>
        <v>0.79900000000000004</v>
      </c>
      <c r="W136" s="73">
        <f ca="1">V$136 +IF(OFFSET(Scenarios!$A$72,0,$C$1)="Yes",(W$148-V$148)*OFFSET(Scenarios!$A$82,0,$C$1),0)</f>
        <v>0.79900000000000004</v>
      </c>
      <c r="X136" s="73">
        <f ca="1">W$136 +IF(OFFSET(Scenarios!$A$72,0,$C$1)="Yes",(X$148-W$148)*OFFSET(Scenarios!$A$82,0,$C$1),0)</f>
        <v>0.79900000000000004</v>
      </c>
    </row>
    <row r="137" spans="1:24" x14ac:dyDescent="0.2">
      <c r="A137" s="157" t="s">
        <v>977</v>
      </c>
      <c r="B137" s="228"/>
      <c r="C137" s="69"/>
      <c r="D137" s="173">
        <f>SUM(Data!C$51:C$52)</f>
        <v>0.32300000000000001</v>
      </c>
      <c r="E137" s="173">
        <f>SUM(Data!D$51:D$52)</f>
        <v>0.51400000000000001</v>
      </c>
      <c r="F137" s="173">
        <f>SUM(Data!E$51:E$52)</f>
        <v>0.41499999999999998</v>
      </c>
      <c r="G137" s="173">
        <f>SUM(Data!F$51:F$52)</f>
        <v>0.38600000000000001</v>
      </c>
      <c r="H137" s="173">
        <f>SUM(Data!G$51:G$52)</f>
        <v>1.355</v>
      </c>
      <c r="I137" s="173">
        <f>SUM(Data!H$51:H$52)</f>
        <v>0.29499999999999998</v>
      </c>
      <c r="J137" s="127">
        <f ca="1">SUM(Data!I$51:I$52)*IF($F$1="Yes",OFFSET('Forecast Adjuster'!$A$67,0,J$289)*OFFSET('Forecast Adjuster'!$A$70,0,J$289),1)  + IF(OFFSET(Scenarios!$A$72,0,$C$1)="Yes",(1-SUM(OFFSET(Scenarios!$A$73,0,$C$1,10,1)))*J$148,0) + IF($I$1="Yes",J$316,0)</f>
        <v>0.97399999999999998</v>
      </c>
      <c r="K137" s="127">
        <f ca="1">SUM(Data!J$51:J$52)*IF($F$1="Yes",OFFSET('Forecast Adjuster'!$A$67,0,K$289)*OFFSET('Forecast Adjuster'!$A$70,0,K$289),1)  + IF(OFFSET(Scenarios!$A$72,0,$C$1)="Yes",(1-SUM(OFFSET(Scenarios!$A$73,0,$C$1,10,1)))*K$148,0) + IF($I$1="Yes",K$316,0)</f>
        <v>1.0629999999999999</v>
      </c>
      <c r="L137" s="127">
        <f ca="1">SUM(Data!K$51:K$52)*IF($F$1="Yes",OFFSET('Forecast Adjuster'!$A$67,0,L$289)*OFFSET('Forecast Adjuster'!$A$70,0,L$289),1)  + IF(OFFSET(Scenarios!$A$72,0,$C$1)="Yes",(1-SUM(OFFSET(Scenarios!$A$73,0,$C$1,10,1)))*L$148,0) + IF($I$1="Yes",L$316,0)</f>
        <v>0.79699999999999993</v>
      </c>
      <c r="M137" s="127">
        <f ca="1">SUM(Data!L$51:L$52)*IF($F$1="Yes",OFFSET('Forecast Adjuster'!$A$67,0,M$289)*OFFSET('Forecast Adjuster'!$A$70,0,M$289),1)  + IF(OFFSET(Scenarios!$A$72,0,$C$1)="Yes",(1-SUM(OFFSET(Scenarios!$A$73,0,$C$1,10,1)))*M$148,0) + IF($I$1="Yes",M$316,0)</f>
        <v>0.96499999999999997</v>
      </c>
      <c r="N137" s="127">
        <f ca="1">SUM(Data!M$51:M$52)*IF($F$1="Yes",OFFSET('Forecast Adjuster'!$A$67,0,N$289)*OFFSET('Forecast Adjuster'!$A$70,0,N$289),1)  + IF(OFFSET(Scenarios!$A$72,0,$C$1)="Yes",(1-SUM(OFFSET(Scenarios!$A$73,0,$C$1,10,1)))*N$148,0) + IF($I$1="Yes",N$316,0)</f>
        <v>0.90399999999999991</v>
      </c>
      <c r="O137" s="81">
        <f ca="1">N$137 +IF(OFFSET(Scenarios!$A$72,0,$C$1)="Yes",(O$148-N$148)*(1-SUM(OFFSET(Scenarios!$A$73,0,$C$1,10,1))),0)-0.704</f>
        <v>0.19999999999999996</v>
      </c>
      <c r="P137" s="81">
        <f ca="1">O$137 +IF(OFFSET(Scenarios!$A$72,0,$C$1)="Yes",(P$148-O$148)*(1-SUM(OFFSET(Scenarios!$A$73,0,$C$1,10,1))),0)</f>
        <v>0.19999999999999996</v>
      </c>
      <c r="Q137" s="81">
        <f ca="1">P$137 +IF(OFFSET(Scenarios!$A$72,0,$C$1)="Yes",(Q$148-P$148)*(1-SUM(OFFSET(Scenarios!$A$73,0,$C$1,10,1))),0)</f>
        <v>0.19999999999999996</v>
      </c>
      <c r="R137" s="81">
        <f ca="1">Q$137 +IF(OFFSET(Scenarios!$A$72,0,$C$1)="Yes",(R$148-Q$148)*(1-SUM(OFFSET(Scenarios!$A$73,0,$C$1,10,1))),0)</f>
        <v>0.19999999999999996</v>
      </c>
      <c r="S137" s="81">
        <f ca="1">R$137 +IF(OFFSET(Scenarios!$A$72,0,$C$1)="Yes",(S$148-R$148)*(1-SUM(OFFSET(Scenarios!$A$73,0,$C$1,10,1))),0)</f>
        <v>0.19999999999999996</v>
      </c>
      <c r="T137" s="81">
        <f ca="1">S$137 +IF(OFFSET(Scenarios!$A$72,0,$C$1)="Yes",(T$148-S$148)*(1-SUM(OFFSET(Scenarios!$A$73,0,$C$1,10,1))),0)</f>
        <v>0.19999999999999996</v>
      </c>
      <c r="U137" s="81">
        <f ca="1">T$137 +IF(OFFSET(Scenarios!$A$72,0,$C$1)="Yes",(U$148-T$148)*(1-SUM(OFFSET(Scenarios!$A$73,0,$C$1,10,1))),0)</f>
        <v>0.19999999999999996</v>
      </c>
      <c r="V137" s="81">
        <f ca="1">U$137 +IF(OFFSET(Scenarios!$A$72,0,$C$1)="Yes",(V$148-U$148)*(1-SUM(OFFSET(Scenarios!$A$73,0,$C$1,10,1))),0)</f>
        <v>0.19999999999999996</v>
      </c>
      <c r="W137" s="81">
        <f ca="1">V$137 +IF(OFFSET(Scenarios!$A$72,0,$C$1)="Yes",(W$148-V$148)*(1-SUM(OFFSET(Scenarios!$A$73,0,$C$1,10,1))),0)</f>
        <v>0.19999999999999996</v>
      </c>
      <c r="X137" s="81">
        <f ca="1">W$137 +IF(OFFSET(Scenarios!$A$72,0,$C$1)="Yes",(X$148-W$148)*(1-SUM(OFFSET(Scenarios!$A$73,0,$C$1,10,1))),0)</f>
        <v>0.19999999999999996</v>
      </c>
    </row>
    <row r="138" spans="1:24" x14ac:dyDescent="0.2">
      <c r="A138" s="27" t="s">
        <v>144</v>
      </c>
      <c r="B138" s="36"/>
      <c r="C138" s="69"/>
      <c r="D138" s="71">
        <f>SUM(D$132:D$137)</f>
        <v>10.316000000000001</v>
      </c>
      <c r="E138" s="71">
        <f t="shared" ref="E138:X138" si="64">SUM(E$132:E$137)</f>
        <v>9.4429999999999996</v>
      </c>
      <c r="F138" s="71">
        <f t="shared" si="64"/>
        <v>11.673999999999999</v>
      </c>
      <c r="G138" s="71">
        <f t="shared" si="64"/>
        <v>9.5020000000000007</v>
      </c>
      <c r="H138" s="71">
        <f t="shared" si="64"/>
        <v>13.555999999999999</v>
      </c>
      <c r="I138" s="71">
        <f t="shared" si="64"/>
        <v>12.372999999999999</v>
      </c>
      <c r="J138" s="128">
        <f t="shared" ca="1" si="64"/>
        <v>13.405000000000001</v>
      </c>
      <c r="K138" s="128">
        <f t="shared" ca="1" si="64"/>
        <v>12.866</v>
      </c>
      <c r="L138" s="128">
        <f t="shared" ca="1" si="64"/>
        <v>11.957000000000001</v>
      </c>
      <c r="M138" s="128">
        <f t="shared" ca="1" si="64"/>
        <v>12.202</v>
      </c>
      <c r="N138" s="128">
        <f t="shared" ca="1" si="64"/>
        <v>11.913</v>
      </c>
      <c r="O138" s="75">
        <f t="shared" ca="1" si="64"/>
        <v>11.125999999999999</v>
      </c>
      <c r="P138" s="75">
        <f t="shared" ca="1" si="64"/>
        <v>11.125999999999999</v>
      </c>
      <c r="Q138" s="75">
        <f t="shared" ca="1" si="64"/>
        <v>11.125999999999999</v>
      </c>
      <c r="R138" s="75">
        <f t="shared" ca="1" si="64"/>
        <v>11.125999999999999</v>
      </c>
      <c r="S138" s="75">
        <f t="shared" ca="1" si="64"/>
        <v>11.125999999999999</v>
      </c>
      <c r="T138" s="75">
        <f t="shared" ca="1" si="64"/>
        <v>11.125999999999999</v>
      </c>
      <c r="U138" s="75">
        <f t="shared" ca="1" si="64"/>
        <v>11.125999999999999</v>
      </c>
      <c r="V138" s="75">
        <f t="shared" ca="1" si="64"/>
        <v>11.125999999999999</v>
      </c>
      <c r="W138" s="75">
        <f t="shared" ca="1" si="64"/>
        <v>11.125999999999999</v>
      </c>
      <c r="X138" s="75">
        <f t="shared" ca="1" si="64"/>
        <v>11.125999999999999</v>
      </c>
    </row>
    <row r="139" spans="1:24" x14ac:dyDescent="0.2">
      <c r="A139" s="27" t="s">
        <v>412</v>
      </c>
      <c r="B139" s="228"/>
      <c r="C139" s="69"/>
      <c r="D139" s="71">
        <f>SUM(Data!C$24:C$26,Data!C$29:C$30,Data!C$32:C$33)</f>
        <v>12.822000000000001</v>
      </c>
      <c r="E139" s="71">
        <f>SUM(Data!D$24:D$26,Data!D$29:D$30,Data!D$32:D$33)</f>
        <v>12.328000000000001</v>
      </c>
      <c r="F139" s="71">
        <f>SUM(Data!E$24:E$26,Data!E$29:E$30,Data!E$32:E$33)</f>
        <v>14.76</v>
      </c>
      <c r="G139" s="71">
        <f>SUM(Data!F$24:F$26,Data!F$29:F$30,Data!F$32:F$33)</f>
        <v>12.427999999999999</v>
      </c>
      <c r="H139" s="71">
        <f>SUM(Data!G$24:G$26,Data!G$29:G$30,Data!G$32:G$33)</f>
        <v>16.809000000000001</v>
      </c>
      <c r="I139" s="71">
        <f>SUM(Data!H$24:H$26,Data!H$29:H$30,Data!H$32:H$33)</f>
        <v>15.676000000000002</v>
      </c>
      <c r="J139" s="128">
        <f ca="1">SUM(Data!I$24:I$26,Data!I$29:I$30,Data!I$32:I$33) + IF($F$1="Yes",SUM(Data!I$43:I$45,Data!I$48:I$49,Data!I$51:I$52)*(OFFSET('Forecast Adjuster'!$A$67,0,J$289)*OFFSET('Forecast Adjuster'!$A$70,0,J$289)-1),0) + IF(OFFSET(Scenarios!$A$72,0,$C$1)="Yes",(1-SUM(OFFSET(Scenarios!$A$73,0,$C$1,3,1),OFFSET(Scenarios!$A$79,0,$C$1),OFFSET(Scenarios!$A$81,0,$C$1)))*J$148,0) + IF($I$1="Yes",J$316,0)</f>
        <v>17.049999999999997</v>
      </c>
      <c r="K139" s="128">
        <f ca="1">SUM(Data!J$24:J$26,Data!J$29:J$30,Data!J$32:J$33) + IF($F$1="Yes",SUM(Data!J$43:J$45,Data!J$48:J$49,Data!J$51:J$52)*(OFFSET('Forecast Adjuster'!$A$67,0,K$289)*OFFSET('Forecast Adjuster'!$A$70,0,K$289)-1),0) + IF(OFFSET(Scenarios!$A$72,0,$C$1)="Yes",(1-SUM(OFFSET(Scenarios!$A$73,0,$C$1,3,1),OFFSET(Scenarios!$A$79,0,$C$1),OFFSET(Scenarios!$A$81,0,$C$1)))*K$148,0) + IF($I$1="Yes",K$316,0)</f>
        <v>16.663</v>
      </c>
      <c r="L139" s="128">
        <f ca="1">SUM(Data!K$24:K$26,Data!K$29:K$30,Data!K$32:K$33) + IF($F$1="Yes",SUM(Data!K$43:K$45,Data!K$48:K$49,Data!K$51:K$52)*(OFFSET('Forecast Adjuster'!$A$67,0,L$289)*OFFSET('Forecast Adjuster'!$A$70,0,L$289)-1),0) + IF(OFFSET(Scenarios!$A$72,0,$C$1)="Yes",(1-SUM(OFFSET(Scenarios!$A$73,0,$C$1,3,1),OFFSET(Scenarios!$A$79,0,$C$1),OFFSET(Scenarios!$A$81,0,$C$1)))*L$148,0) + IF($I$1="Yes",L$316,0)</f>
        <v>15.893000000000001</v>
      </c>
      <c r="M139" s="128">
        <f ca="1">SUM(Data!L$24:L$26,Data!L$29:L$30,Data!L$32:L$33) + IF($F$1="Yes",SUM(Data!L$43:L$45,Data!L$48:L$49,Data!L$51:L$52)*(OFFSET('Forecast Adjuster'!$A$67,0,M$289)*OFFSET('Forecast Adjuster'!$A$70,0,M$289)-1),0) + IF(OFFSET(Scenarios!$A$72,0,$C$1)="Yes",(1-SUM(OFFSET(Scenarios!$A$73,0,$C$1,3,1),OFFSET(Scenarios!$A$79,0,$C$1),OFFSET(Scenarios!$A$81,0,$C$1)))*M$148,0) + IF($I$1="Yes",M$316,0)</f>
        <v>16.245000000000001</v>
      </c>
      <c r="N139" s="128">
        <f ca="1">SUM(Data!M$24:M$26,Data!M$29:M$30,Data!M$32:M$33) + IF($F$1="Yes",SUM(Data!M$43:M$45,Data!M$48:M$49,Data!M$51:M$52)*(OFFSET('Forecast Adjuster'!$A$67,0,N$289)*OFFSET('Forecast Adjuster'!$A$70,0,N$289)-1),0) + IF(OFFSET(Scenarios!$A$72,0,$C$1)="Yes",(1-SUM(OFFSET(Scenarios!$A$73,0,$C$1,3,1),OFFSET(Scenarios!$A$79,0,$C$1),OFFSET(Scenarios!$A$81,0,$C$1)))*N$148,0) + IF($I$1="Yes",N$316,0)</f>
        <v>16.062999999999999</v>
      </c>
      <c r="O139" s="105">
        <f t="shared" ref="O139:X139" ca="1" si="65">SUM(O$138,(N$139-N$138)*(1+O$245))</f>
        <v>15.462222197850569</v>
      </c>
      <c r="P139" s="105">
        <f t="shared" ca="1" si="65"/>
        <v>15.65731123526521</v>
      </c>
      <c r="Q139" s="105">
        <f t="shared" ca="1" si="65"/>
        <v>15.866400916806665</v>
      </c>
      <c r="R139" s="105">
        <f t="shared" ca="1" si="65"/>
        <v>16.085720308701024</v>
      </c>
      <c r="S139" s="105">
        <f t="shared" ca="1" si="65"/>
        <v>16.313794968179764</v>
      </c>
      <c r="T139" s="105">
        <f t="shared" ca="1" si="65"/>
        <v>16.548020135821741</v>
      </c>
      <c r="U139" s="105">
        <f t="shared" ca="1" si="65"/>
        <v>16.788940381470265</v>
      </c>
      <c r="V139" s="105">
        <f t="shared" ca="1" si="65"/>
        <v>17.039152338758107</v>
      </c>
      <c r="W139" s="105">
        <f t="shared" ca="1" si="65"/>
        <v>17.297165029041587</v>
      </c>
      <c r="X139" s="105">
        <f t="shared" ca="1" si="65"/>
        <v>17.562454526060588</v>
      </c>
    </row>
    <row r="140" spans="1:24" x14ac:dyDescent="0.2">
      <c r="A140" s="27"/>
      <c r="B140" s="100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1:24" x14ac:dyDescent="0.2">
      <c r="A141" s="106" t="s">
        <v>586</v>
      </c>
      <c r="B141" s="100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1:24" x14ac:dyDescent="0.2">
      <c r="A142" s="27" t="s">
        <v>423</v>
      </c>
      <c r="B142" s="228"/>
      <c r="C142" s="69"/>
      <c r="D142" s="71">
        <f>Data!C$53</f>
        <v>2.3290000000000002</v>
      </c>
      <c r="E142" s="71">
        <f>Data!D$53</f>
        <v>2.46</v>
      </c>
      <c r="F142" s="71">
        <f>Data!E$53</f>
        <v>2.4289999999999998</v>
      </c>
      <c r="G142" s="71">
        <f>Data!F$53</f>
        <v>2.3109999999999999</v>
      </c>
      <c r="H142" s="71">
        <f>Data!G$53</f>
        <v>3.0659999999999998</v>
      </c>
      <c r="I142" s="71">
        <f>Data!H$53</f>
        <v>3.5110000000000001</v>
      </c>
      <c r="J142" s="128">
        <f>Data!I$53 + IF($F$1="Yes",SUM(J$336:J$339),0) + IF($I$1="Yes",SUM(J$318:J$320),0) + IF($L$1="Yes",SUM(J$351:J$353),0)</f>
        <v>3.5569999999999999</v>
      </c>
      <c r="K142" s="128">
        <f>Data!J$53 + IF($F$1="Yes",SUM(K$336:K$339),0) + IF($I$1="Yes",SUM(K$318:K$320),0) + IF($L$1="Yes",SUM(K$351:K$353),0)</f>
        <v>3.6219999999999999</v>
      </c>
      <c r="L142" s="128">
        <f>Data!K$53 + IF($F$1="Yes",SUM(L$336:L$339),0) + IF($I$1="Yes",SUM(L$318:L$320),0) + IF($L$1="Yes",SUM(L$351:L$353),0)</f>
        <v>3.9279999999999999</v>
      </c>
      <c r="M142" s="128">
        <f>Data!L$53 + IF($F$1="Yes",SUM(M$336:M$339),0) + IF($I$1="Yes",SUM(M$318:M$320),0) + IF($L$1="Yes",SUM(M$351:M$353),0)</f>
        <v>3.883</v>
      </c>
      <c r="N142" s="128">
        <f>Data!M$53 + IF($F$1="Yes",SUM(N$336:N$339),0) + IF($I$1="Yes",SUM(N$318:N$320),0) + IF($L$1="Yes",SUM(N$351:N$353),0)</f>
        <v>4.2729999999999997</v>
      </c>
      <c r="O142" s="42">
        <f t="shared" ref="O142:X142" ca="1" si="66">(N$234+(O$34-N$34-(O$36-N$36)-SUM(O$21,O$23,N$67)+SUM(O$20,N$142))/2)*O$143</f>
        <v>4.4996144584885451</v>
      </c>
      <c r="P142" s="42">
        <f t="shared" ca="1" si="66"/>
        <v>4.5071589883642185</v>
      </c>
      <c r="Q142" s="42">
        <f t="shared" ca="1" si="66"/>
        <v>4.4089286720917871</v>
      </c>
      <c r="R142" s="42">
        <f t="shared" ca="1" si="66"/>
        <v>4.2396224856547837</v>
      </c>
      <c r="S142" s="42">
        <f t="shared" ca="1" si="66"/>
        <v>4.0028072839928805</v>
      </c>
      <c r="T142" s="42">
        <f t="shared" ca="1" si="66"/>
        <v>3.651358962995491</v>
      </c>
      <c r="U142" s="42">
        <f t="shared" ca="1" si="66"/>
        <v>3.1658326649566439</v>
      </c>
      <c r="V142" s="42">
        <f t="shared" ca="1" si="66"/>
        <v>2.5274898347659214</v>
      </c>
      <c r="W142" s="42">
        <f t="shared" ca="1" si="66"/>
        <v>1.7159867169512268</v>
      </c>
      <c r="X142" s="42">
        <f t="shared" ca="1" si="66"/>
        <v>0.69395877244680249</v>
      </c>
    </row>
    <row r="143" spans="1:24" x14ac:dyDescent="0.2">
      <c r="A143" s="412" t="s">
        <v>1041</v>
      </c>
      <c r="B143" s="69"/>
      <c r="C143" s="69"/>
      <c r="D143" s="387"/>
      <c r="E143" s="387">
        <f t="shared" ref="E143:N143" si="67">E$142/SUM(D$234,(E$234-D$234)/2)</f>
        <v>6.7187414650133823E-2</v>
      </c>
      <c r="F143" s="387">
        <f t="shared" si="67"/>
        <v>5.5279298141805391E-2</v>
      </c>
      <c r="G143" s="387">
        <f t="shared" si="67"/>
        <v>4.2353932996114653E-2</v>
      </c>
      <c r="H143" s="387">
        <f t="shared" si="67"/>
        <v>4.5265302506865085E-2</v>
      </c>
      <c r="I143" s="387">
        <f t="shared" si="67"/>
        <v>4.3462383560795965E-2</v>
      </c>
      <c r="J143" s="324">
        <f t="shared" si="67"/>
        <v>4.1849520560032938E-2</v>
      </c>
      <c r="K143" s="324">
        <f t="shared" si="67"/>
        <v>4.0286073386944281E-2</v>
      </c>
      <c r="L143" s="324">
        <f t="shared" si="67"/>
        <v>4.2558493550676348E-2</v>
      </c>
      <c r="M143" s="324">
        <f t="shared" si="67"/>
        <v>4.2052709383613197E-2</v>
      </c>
      <c r="N143" s="324">
        <f t="shared" si="67"/>
        <v>4.3677585211156028E-2</v>
      </c>
      <c r="O143" s="315">
        <f ca="1">IF(O$2="Proj Yr1",IF(N$143&lt;OFFSET(Scenarios!$A$8,0,$C$1),MIN(N$143+(OFFSET(Scenarios!$A$8,0,$C$1)-N$143)/(OFFSET(Scenarios!$A$19,0,$C$1)-N$4),OFFSET(Scenarios!$A$8,0,$C$1)),MAX(N$143+(OFFSET(Scenarios!$A$8,0,$C$1)-N$143)/(OFFSET(Scenarios!$A$19,0,$C$1)-N$4),OFFSET(Scenarios!$A$8,0,$C$1))),IF(M$143&lt;N$143,MIN(N$143+N$143-M$143,OFFSET(Scenarios!$A$8,0,$C$1)),MAX(N$143+N$143-M$143,OFFSET(Scenarios!$A$8,0,$C$1))))</f>
        <v>4.4935631298805359E-2</v>
      </c>
      <c r="P143" s="315">
        <f ca="1">IF(P$2="Proj Yr1",IF(O$143&lt;OFFSET(Scenarios!$A$8,0,$C$1),MIN(O$143+(OFFSET(Scenarios!$A$8,0,$C$1)-O$143)/(OFFSET(Scenarios!$A$19,0,$C$1)-O$4),OFFSET(Scenarios!$A$8,0,$C$1)),MAX(O$143+(OFFSET(Scenarios!$A$8,0,$C$1)-O$143)/(OFFSET(Scenarios!$A$19,0,$C$1)-O$4),OFFSET(Scenarios!$A$8,0,$C$1))),IF(N$143&lt;O$143,MIN(O$143+O$143-N$143,OFFSET(Scenarios!$A$8,0,$C$1)),MAX(O$143+O$143-N$143,OFFSET(Scenarios!$A$8,0,$C$1))))</f>
        <v>4.619367738645469E-2</v>
      </c>
      <c r="Q143" s="315">
        <f ca="1">IF(Q$2="Proj Yr1",IF(P$143&lt;OFFSET(Scenarios!$A$8,0,$C$1),MIN(P$143+(OFFSET(Scenarios!$A$8,0,$C$1)-P$143)/(OFFSET(Scenarios!$A$19,0,$C$1)-P$4),OFFSET(Scenarios!$A$8,0,$C$1)),MAX(P$143+(OFFSET(Scenarios!$A$8,0,$C$1)-P$143)/(OFFSET(Scenarios!$A$19,0,$C$1)-P$4),OFFSET(Scenarios!$A$8,0,$C$1))),IF(O$143&lt;P$143,MIN(P$143+P$143-O$143,OFFSET(Scenarios!$A$8,0,$C$1)),MAX(P$143+P$143-O$143,OFFSET(Scenarios!$A$8,0,$C$1))))</f>
        <v>4.7451723474104021E-2</v>
      </c>
      <c r="R143" s="315">
        <f ca="1">IF(R$2="Proj Yr1",IF(Q$143&lt;OFFSET(Scenarios!$A$8,0,$C$1),MIN(Q$143+(OFFSET(Scenarios!$A$8,0,$C$1)-Q$143)/(OFFSET(Scenarios!$A$19,0,$C$1)-Q$4),OFFSET(Scenarios!$A$8,0,$C$1)),MAX(Q$143+(OFFSET(Scenarios!$A$8,0,$C$1)-Q$143)/(OFFSET(Scenarios!$A$19,0,$C$1)-Q$4),OFFSET(Scenarios!$A$8,0,$C$1))),IF(P$143&lt;Q$143,MIN(Q$143+Q$143-P$143,OFFSET(Scenarios!$A$8,0,$C$1)),MAX(Q$143+Q$143-P$143,OFFSET(Scenarios!$A$8,0,$C$1))))</f>
        <v>4.8709769561753352E-2</v>
      </c>
      <c r="S143" s="315">
        <f ca="1">IF(S$2="Proj Yr1",IF(R$143&lt;OFFSET(Scenarios!$A$8,0,$C$1),MIN(R$143+(OFFSET(Scenarios!$A$8,0,$C$1)-R$143)/(OFFSET(Scenarios!$A$19,0,$C$1)-R$4),OFFSET(Scenarios!$A$8,0,$C$1)),MAX(R$143+(OFFSET(Scenarios!$A$8,0,$C$1)-R$143)/(OFFSET(Scenarios!$A$19,0,$C$1)-R$4),OFFSET(Scenarios!$A$8,0,$C$1))),IF(Q$143&lt;R$143,MIN(R$143+R$143-Q$143,OFFSET(Scenarios!$A$8,0,$C$1)),MAX(R$143+R$143-Q$143,OFFSET(Scenarios!$A$8,0,$C$1))))</f>
        <v>4.9967815649402683E-2</v>
      </c>
      <c r="T143" s="315">
        <f ca="1">IF(T$2="Proj Yr1",IF(S$143&lt;OFFSET(Scenarios!$A$8,0,$C$1),MIN(S$143+(OFFSET(Scenarios!$A$8,0,$C$1)-S$143)/(OFFSET(Scenarios!$A$19,0,$C$1)-S$4),OFFSET(Scenarios!$A$8,0,$C$1)),MAX(S$143+(OFFSET(Scenarios!$A$8,0,$C$1)-S$143)/(OFFSET(Scenarios!$A$19,0,$C$1)-S$4),OFFSET(Scenarios!$A$8,0,$C$1))),IF(R$143&lt;S$143,MIN(S$143+S$143-R$143,OFFSET(Scenarios!$A$8,0,$C$1)),MAX(S$143+S$143-R$143,OFFSET(Scenarios!$A$8,0,$C$1))))</f>
        <v>5.1225861737052014E-2</v>
      </c>
      <c r="U143" s="315">
        <f ca="1">IF(U$2="Proj Yr1",IF(T$143&lt;OFFSET(Scenarios!$A$8,0,$C$1),MIN(T$143+(OFFSET(Scenarios!$A$8,0,$C$1)-T$143)/(OFFSET(Scenarios!$A$19,0,$C$1)-T$4),OFFSET(Scenarios!$A$8,0,$C$1)),MAX(T$143+(OFFSET(Scenarios!$A$8,0,$C$1)-T$143)/(OFFSET(Scenarios!$A$19,0,$C$1)-T$4),OFFSET(Scenarios!$A$8,0,$C$1))),IF(S$143&lt;T$143,MIN(T$143+T$143-S$143,OFFSET(Scenarios!$A$8,0,$C$1)),MAX(T$143+T$143-S$143,OFFSET(Scenarios!$A$8,0,$C$1))))</f>
        <v>5.2483907824701345E-2</v>
      </c>
      <c r="V143" s="315">
        <f ca="1">IF(V$2="Proj Yr1",IF(U$143&lt;OFFSET(Scenarios!$A$8,0,$C$1),MIN(U$143+(OFFSET(Scenarios!$A$8,0,$C$1)-U$143)/(OFFSET(Scenarios!$A$19,0,$C$1)-U$4),OFFSET(Scenarios!$A$8,0,$C$1)),MAX(U$143+(OFFSET(Scenarios!$A$8,0,$C$1)-U$143)/(OFFSET(Scenarios!$A$19,0,$C$1)-U$4),OFFSET(Scenarios!$A$8,0,$C$1))),IF(T$143&lt;U$143,MIN(U$143+U$143-T$143,OFFSET(Scenarios!$A$8,0,$C$1)),MAX(U$143+U$143-T$143,OFFSET(Scenarios!$A$8,0,$C$1))))</f>
        <v>5.3741953912350676E-2</v>
      </c>
      <c r="W143" s="315">
        <f ca="1">IF(W$2="Proj Yr1",IF(V$143&lt;OFFSET(Scenarios!$A$8,0,$C$1),MIN(V$143+(OFFSET(Scenarios!$A$8,0,$C$1)-V$143)/(OFFSET(Scenarios!$A$19,0,$C$1)-V$4),OFFSET(Scenarios!$A$8,0,$C$1)),MAX(V$143+(OFFSET(Scenarios!$A$8,0,$C$1)-V$143)/(OFFSET(Scenarios!$A$19,0,$C$1)-V$4),OFFSET(Scenarios!$A$8,0,$C$1))),IF(U$143&lt;V$143,MIN(V$143+V$143-U$143,OFFSET(Scenarios!$A$8,0,$C$1)),MAX(V$143+V$143-U$143,OFFSET(Scenarios!$A$8,0,$C$1))))</f>
        <v>5.5E-2</v>
      </c>
      <c r="X143" s="315">
        <f ca="1">IF(X$2="Proj Yr1",IF(W$143&lt;OFFSET(Scenarios!$A$8,0,$C$1),MIN(W$143+(OFFSET(Scenarios!$A$8,0,$C$1)-W$143)/(OFFSET(Scenarios!$A$19,0,$C$1)-W$4),OFFSET(Scenarios!$A$8,0,$C$1)),MAX(W$143+(OFFSET(Scenarios!$A$8,0,$C$1)-W$143)/(OFFSET(Scenarios!$A$19,0,$C$1)-W$4),OFFSET(Scenarios!$A$8,0,$C$1))),IF(V$143&lt;W$143,MIN(W$143+W$143-V$143,OFFSET(Scenarios!$A$8,0,$C$1)),MAX(W$143+W$143-V$143,OFFSET(Scenarios!$A$8,0,$C$1))))</f>
        <v>5.5E-2</v>
      </c>
    </row>
    <row r="144" spans="1:24" x14ac:dyDescent="0.2">
      <c r="A144" s="27" t="s">
        <v>424</v>
      </c>
      <c r="B144" s="228"/>
      <c r="C144" s="69"/>
      <c r="D144" s="71">
        <f>Data!C$34</f>
        <v>2.8849999999999998</v>
      </c>
      <c r="E144" s="71">
        <f>Data!D$34</f>
        <v>3.101</v>
      </c>
      <c r="F144" s="71">
        <f>Data!E$34</f>
        <v>3.07</v>
      </c>
      <c r="G144" s="71">
        <f>Data!F$34</f>
        <v>2.7770000000000001</v>
      </c>
      <c r="H144" s="71">
        <f>Data!G$34</f>
        <v>3.5960000000000001</v>
      </c>
      <c r="I144" s="71">
        <f>Data!H$34</f>
        <v>4.29</v>
      </c>
      <c r="J144" s="128">
        <f>Data!I$34 + IF($F$1="Yes",SUM(J$336:J$339),0) + IF($I$1="Yes",SUM(J$318:J$320),0) + IF($L$1="Yes",SUM(J$351:J$353),0)</f>
        <v>4.3010000000000002</v>
      </c>
      <c r="K144" s="128">
        <f>Data!J$34 + IF($F$1="Yes",SUM(K$336:K$339),0) + IF($I$1="Yes",SUM(K$318:K$320),0) + IF($L$1="Yes",SUM(K$351:K$353),0)</f>
        <v>4.516</v>
      </c>
      <c r="L144" s="128">
        <f>Data!K$34 + IF($F$1="Yes",SUM(L$336:L$339),0) + IF($I$1="Yes",SUM(L$318:L$320),0) + IF($L$1="Yes",SUM(L$351:L$353),0)</f>
        <v>4.9340000000000002</v>
      </c>
      <c r="M144" s="128">
        <f>Data!L$34 + IF($F$1="Yes",SUM(M$336:M$339),0) + IF($I$1="Yes",SUM(M$318:M$320),0) + IF($L$1="Yes",SUM(M$351:M$353),0)</f>
        <v>5.0309999999999997</v>
      </c>
      <c r="N144" s="128">
        <f>Data!M$34 + IF($F$1="Yes",SUM(N$336:N$339),0) + IF($I$1="Yes",SUM(N$318:N$320),0) + IF($L$1="Yes",SUM(N$351:N$353),0)</f>
        <v>5.5949999999999998</v>
      </c>
      <c r="O144" s="42">
        <f ca="1">(SUM(N$231,N$232)+SUM(O$231-N$231,IF(N$234&lt;=0,OFFSET(Scenarios!$A$49,0,$C$1),N$232/N$234)*(O$34-N$34-(O$36-N$36)-SUM(O$21,O$23,N$67)+SUM(O$20,N$142)))/2)*O$145</f>
        <v>5.8876491851106776</v>
      </c>
      <c r="P144" s="42">
        <f ca="1">(SUM(O$231,O$232)+SUM(P$231-O$231,IF(O$234&lt;=0,OFFSET(Scenarios!$A$49,0,$C$1),O$232/O$234)*(P$34-O$34-(P$36-O$36)-SUM(P$21,P$23,O$67)+SUM(P$20,O$142)))/2)*P$145</f>
        <v>5.9647268510862368</v>
      </c>
      <c r="Q144" s="42">
        <f ca="1">(SUM(P$231,P$232)+SUM(Q$231-P$231,IF(P$234&lt;=0,OFFSET(Scenarios!$A$49,0,$C$1),P$232/P$234)*(Q$34-P$34-(Q$36-P$36)-SUM(Q$21,Q$23,P$67)+SUM(Q$20,P$142)))/2)*Q$145</f>
        <v>5.9539822712831203</v>
      </c>
      <c r="R144" s="42">
        <f ca="1">(SUM(Q$231,Q$232)+SUM(R$231-Q$231,IF(Q$234&lt;=0,OFFSET(Scenarios!$A$49,0,$C$1),Q$232/Q$234)*(R$34-Q$34-(R$36-Q$36)-SUM(R$21,R$23,Q$67)+SUM(R$20,Q$142)))/2)*R$145</f>
        <v>5.889849390574625</v>
      </c>
      <c r="S144" s="42">
        <f ca="1">(SUM(R$231,R$232)+SUM(S$231-R$231,IF(R$234&lt;=0,OFFSET(Scenarios!$A$49,0,$C$1),R$232/R$234)*(S$34-R$34-(S$36-R$36)-SUM(S$21,S$23,R$67)+SUM(S$20,R$142)))/2)*S$145</f>
        <v>5.7759932929310347</v>
      </c>
      <c r="T144" s="42">
        <f ca="1">(SUM(S$231,S$232)+SUM(T$231-S$231,IF(S$234&lt;=0,OFFSET(Scenarios!$A$49,0,$C$1),S$232/S$234)*(T$34-S$34-(T$36-S$36)-SUM(T$21,T$23,S$67)+SUM(T$20,S$142)))/2)*T$145</f>
        <v>5.5705329962568637</v>
      </c>
      <c r="U144" s="42">
        <f ca="1">(SUM(T$231,T$232)+SUM(U$231-T$231,IF(T$234&lt;=0,OFFSET(Scenarios!$A$49,0,$C$1),T$232/T$234)*(U$34-T$34-(U$36-T$36)-SUM(U$21,U$23,T$67)+SUM(U$20,T$142)))/2)*U$145</f>
        <v>5.2577604003685066</v>
      </c>
      <c r="V144" s="42">
        <f ca="1">(SUM(U$231,U$232)+SUM(V$231-U$231,IF(U$234&lt;=0,OFFSET(Scenarios!$A$49,0,$C$1),U$232/U$234)*(V$34-U$34-(V$36-U$36)-SUM(V$21,V$23,U$67)+SUM(V$20,U$142)))/2)*V$145</f>
        <v>4.824030557338018</v>
      </c>
      <c r="W144" s="42">
        <f ca="1">(SUM(V$231,V$232)+SUM(W$231-V$231,IF(V$234&lt;=0,OFFSET(Scenarios!$A$49,0,$C$1),V$232/V$234)*(W$34-V$34-(W$36-V$36)-SUM(W$21,W$23,V$67)+SUM(W$20,V$142)))/2)*W$145</f>
        <v>4.2541258847952621</v>
      </c>
      <c r="X144" s="42">
        <f ca="1">(SUM(W$231,W$232)+SUM(X$231-W$231,IF(W$234&lt;=0,OFFSET(Scenarios!$A$49,0,$C$1),W$232/W$234)*(X$34-W$34-(X$36-W$36)-SUM(X$21,X$23,W$67)+SUM(X$20,W$142)))/2)*X$145</f>
        <v>3.4748587602634684</v>
      </c>
    </row>
    <row r="145" spans="1:24" x14ac:dyDescent="0.2">
      <c r="A145" s="412" t="s">
        <v>1042</v>
      </c>
      <c r="B145" s="228"/>
      <c r="C145" s="69"/>
      <c r="D145" s="387"/>
      <c r="E145" s="387">
        <f t="shared" ref="E145:N145" si="68">E$144/SUM(D$231,D$232,SUM(E$231-D$231,E$232-D$232)/2)</f>
        <v>7.0470866284883193E-2</v>
      </c>
      <c r="F145" s="387">
        <f t="shared" si="68"/>
        <v>5.6818707605748496E-2</v>
      </c>
      <c r="G145" s="387">
        <f t="shared" si="68"/>
        <v>4.2176085536807253E-2</v>
      </c>
      <c r="H145" s="387">
        <f t="shared" si="68"/>
        <v>4.4956181474952804E-2</v>
      </c>
      <c r="I145" s="387">
        <f t="shared" si="68"/>
        <v>4.4973503373012758E-2</v>
      </c>
      <c r="J145" s="324">
        <f t="shared" si="68"/>
        <v>4.2729268704610711E-2</v>
      </c>
      <c r="K145" s="324">
        <f t="shared" si="68"/>
        <v>4.2407538700635267E-2</v>
      </c>
      <c r="L145" s="324">
        <f t="shared" si="68"/>
        <v>4.4474891607099401E-2</v>
      </c>
      <c r="M145" s="324">
        <f t="shared" si="68"/>
        <v>4.4738889753451451E-2</v>
      </c>
      <c r="N145" s="324">
        <f t="shared" si="68"/>
        <v>4.6947765890497165E-2</v>
      </c>
      <c r="O145" s="315">
        <f ca="1">IF(O$2="Proj Yr1",IF(N$145&lt;OFFSET(Scenarios!$A$8,0,$C$1),MIN(N$145+(OFFSET(Scenarios!$A$8,0,$C$1)-N$145)/(OFFSET(Scenarios!$A$19,0,$C$1)-N$4),OFFSET(Scenarios!$A$8,0,$C$1)),MAX(N$145+(OFFSET(Scenarios!$A$8,0,$C$1)-N$145)/(OFFSET(Scenarios!$A$19,0,$C$1)-N$4),OFFSET(Scenarios!$A$8,0,$C$1))),IF(M$145&lt;N$145,MIN(N$145+N$145-M$145,OFFSET(Scenarios!$A$8,0,$C$1)),MAX(N$145+N$145-M$145,OFFSET(Scenarios!$A$8,0,$C$1))))</f>
        <v>4.7842458569330816E-2</v>
      </c>
      <c r="P145" s="315">
        <f ca="1">IF(P$2="Proj Yr1",IF(O$145&lt;OFFSET(Scenarios!$A$8,0,$C$1),MIN(O$145+(OFFSET(Scenarios!$A$8,0,$C$1)-O$145)/(OFFSET(Scenarios!$A$19,0,$C$1)-O$4),OFFSET(Scenarios!$A$8,0,$C$1)),MAX(O$145+(OFFSET(Scenarios!$A$8,0,$C$1)-O$145)/(OFFSET(Scenarios!$A$19,0,$C$1)-O$4),OFFSET(Scenarios!$A$8,0,$C$1))),IF(N$145&lt;O$145,MIN(O$145+O$145-N$145,OFFSET(Scenarios!$A$8,0,$C$1)),MAX(O$145+O$145-N$145,OFFSET(Scenarios!$A$8,0,$C$1))))</f>
        <v>4.8737151248164468E-2</v>
      </c>
      <c r="Q145" s="315">
        <f ca="1">IF(Q$2="Proj Yr1",IF(P$145&lt;OFFSET(Scenarios!$A$8,0,$C$1),MIN(P$145+(OFFSET(Scenarios!$A$8,0,$C$1)-P$145)/(OFFSET(Scenarios!$A$19,0,$C$1)-P$4),OFFSET(Scenarios!$A$8,0,$C$1)),MAX(P$145+(OFFSET(Scenarios!$A$8,0,$C$1)-P$145)/(OFFSET(Scenarios!$A$19,0,$C$1)-P$4),OFFSET(Scenarios!$A$8,0,$C$1))),IF(O$145&lt;P$145,MIN(P$145+P$145-O$145,OFFSET(Scenarios!$A$8,0,$C$1)),MAX(P$145+P$145-O$145,OFFSET(Scenarios!$A$8,0,$C$1))))</f>
        <v>4.9631843926998119E-2</v>
      </c>
      <c r="R145" s="315">
        <f ca="1">IF(R$2="Proj Yr1",IF(Q$145&lt;OFFSET(Scenarios!$A$8,0,$C$1),MIN(Q$145+(OFFSET(Scenarios!$A$8,0,$C$1)-Q$145)/(OFFSET(Scenarios!$A$19,0,$C$1)-Q$4),OFFSET(Scenarios!$A$8,0,$C$1)),MAX(Q$145+(OFFSET(Scenarios!$A$8,0,$C$1)-Q$145)/(OFFSET(Scenarios!$A$19,0,$C$1)-Q$4),OFFSET(Scenarios!$A$8,0,$C$1))),IF(P$145&lt;Q$145,MIN(Q$145+Q$145-P$145,OFFSET(Scenarios!$A$8,0,$C$1)),MAX(Q$145+Q$145-P$145,OFFSET(Scenarios!$A$8,0,$C$1))))</f>
        <v>5.0526536605831771E-2</v>
      </c>
      <c r="S145" s="315">
        <f ca="1">IF(S$2="Proj Yr1",IF(R$145&lt;OFFSET(Scenarios!$A$8,0,$C$1),MIN(R$145+(OFFSET(Scenarios!$A$8,0,$C$1)-R$145)/(OFFSET(Scenarios!$A$19,0,$C$1)-R$4),OFFSET(Scenarios!$A$8,0,$C$1)),MAX(R$145+(OFFSET(Scenarios!$A$8,0,$C$1)-R$145)/(OFFSET(Scenarios!$A$19,0,$C$1)-R$4),OFFSET(Scenarios!$A$8,0,$C$1))),IF(Q$145&lt;R$145,MIN(R$145+R$145-Q$145,OFFSET(Scenarios!$A$8,0,$C$1)),MAX(R$145+R$145-Q$145,OFFSET(Scenarios!$A$8,0,$C$1))))</f>
        <v>5.1421229284665422E-2</v>
      </c>
      <c r="T145" s="315">
        <f ca="1">IF(T$2="Proj Yr1",IF(S$145&lt;OFFSET(Scenarios!$A$8,0,$C$1),MIN(S$145+(OFFSET(Scenarios!$A$8,0,$C$1)-S$145)/(OFFSET(Scenarios!$A$19,0,$C$1)-S$4),OFFSET(Scenarios!$A$8,0,$C$1)),MAX(S$145+(OFFSET(Scenarios!$A$8,0,$C$1)-S$145)/(OFFSET(Scenarios!$A$19,0,$C$1)-S$4),OFFSET(Scenarios!$A$8,0,$C$1))),IF(R$145&lt;S$145,MIN(S$145+S$145-R$145,OFFSET(Scenarios!$A$8,0,$C$1)),MAX(S$145+S$145-R$145,OFFSET(Scenarios!$A$8,0,$C$1))))</f>
        <v>5.2315921963499074E-2</v>
      </c>
      <c r="U145" s="315">
        <f ca="1">IF(U$2="Proj Yr1",IF(T$145&lt;OFFSET(Scenarios!$A$8,0,$C$1),MIN(T$145+(OFFSET(Scenarios!$A$8,0,$C$1)-T$145)/(OFFSET(Scenarios!$A$19,0,$C$1)-T$4),OFFSET(Scenarios!$A$8,0,$C$1)),MAX(T$145+(OFFSET(Scenarios!$A$8,0,$C$1)-T$145)/(OFFSET(Scenarios!$A$19,0,$C$1)-T$4),OFFSET(Scenarios!$A$8,0,$C$1))),IF(S$145&lt;T$145,MIN(T$145+T$145-S$145,OFFSET(Scenarios!$A$8,0,$C$1)),MAX(T$145+T$145-S$145,OFFSET(Scenarios!$A$8,0,$C$1))))</f>
        <v>5.3210614642332725E-2</v>
      </c>
      <c r="V145" s="315">
        <f ca="1">IF(V$2="Proj Yr1",IF(U$145&lt;OFFSET(Scenarios!$A$8,0,$C$1),MIN(U$145+(OFFSET(Scenarios!$A$8,0,$C$1)-U$145)/(OFFSET(Scenarios!$A$19,0,$C$1)-U$4),OFFSET(Scenarios!$A$8,0,$C$1)),MAX(U$145+(OFFSET(Scenarios!$A$8,0,$C$1)-U$145)/(OFFSET(Scenarios!$A$19,0,$C$1)-U$4),OFFSET(Scenarios!$A$8,0,$C$1))),IF(T$145&lt;U$145,MIN(U$145+U$145-T$145,OFFSET(Scenarios!$A$8,0,$C$1)),MAX(U$145+U$145-T$145,OFFSET(Scenarios!$A$8,0,$C$1))))</f>
        <v>5.4105307321166377E-2</v>
      </c>
      <c r="W145" s="315">
        <f ca="1">IF(W$2="Proj Yr1",IF(V$145&lt;OFFSET(Scenarios!$A$8,0,$C$1),MIN(V$145+(OFFSET(Scenarios!$A$8,0,$C$1)-V$145)/(OFFSET(Scenarios!$A$19,0,$C$1)-V$4),OFFSET(Scenarios!$A$8,0,$C$1)),MAX(V$145+(OFFSET(Scenarios!$A$8,0,$C$1)-V$145)/(OFFSET(Scenarios!$A$19,0,$C$1)-V$4),OFFSET(Scenarios!$A$8,0,$C$1))),IF(U$145&lt;V$145,MIN(V$145+V$145-U$145,OFFSET(Scenarios!$A$8,0,$C$1)),MAX(V$145+V$145-U$145,OFFSET(Scenarios!$A$8,0,$C$1))))</f>
        <v>5.5E-2</v>
      </c>
      <c r="X145" s="315">
        <f ca="1">IF(X$2="Proj Yr1",IF(W$145&lt;OFFSET(Scenarios!$A$8,0,$C$1),MIN(W$145+(OFFSET(Scenarios!$A$8,0,$C$1)-W$145)/(OFFSET(Scenarios!$A$19,0,$C$1)-W$4),OFFSET(Scenarios!$A$8,0,$C$1)),MAX(W$145+(OFFSET(Scenarios!$A$8,0,$C$1)-W$145)/(OFFSET(Scenarios!$A$19,0,$C$1)-W$4),OFFSET(Scenarios!$A$8,0,$C$1))),IF(V$145&lt;W$145,MIN(W$145+W$145-V$145,OFFSET(Scenarios!$A$8,0,$C$1)),MAX(W$145+W$145-V$145,OFFSET(Scenarios!$A$8,0,$C$1))))</f>
        <v>5.5E-2</v>
      </c>
    </row>
    <row r="146" spans="1:24" x14ac:dyDescent="0.2">
      <c r="A146" s="27"/>
      <c r="B146" s="100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1:24" x14ac:dyDescent="0.2">
      <c r="A147" s="106" t="s">
        <v>975</v>
      </c>
      <c r="B147" s="100"/>
      <c r="C147" s="69"/>
      <c r="D147" s="71">
        <f>D$148</f>
        <v>0</v>
      </c>
      <c r="E147" s="71">
        <f>E$148-D$148</f>
        <v>0</v>
      </c>
      <c r="F147" s="71">
        <f>F$148-E$148</f>
        <v>0</v>
      </c>
      <c r="G147" s="71">
        <f>G$148-F$148</f>
        <v>0</v>
      </c>
      <c r="H147" s="71">
        <f>H$148-G$148</f>
        <v>0</v>
      </c>
      <c r="I147" s="71">
        <f>I$148-H$148</f>
        <v>0</v>
      </c>
      <c r="J147" s="128">
        <f ca="1">IF(OFFSET(Scenarios!$A$72,0,$C$1)="Yes",0,J$148-I$148)</f>
        <v>-0.28800000000000003</v>
      </c>
      <c r="K147" s="128">
        <f ca="1">IF(OFFSET(Scenarios!$A$72,0,$C$1)="Yes",0,K$148-J$148)</f>
        <v>0.14900000000000008</v>
      </c>
      <c r="L147" s="128">
        <f ca="1">IF(OFFSET(Scenarios!$A$72,0,$C$1)="Yes",0,L$148-K$148)</f>
        <v>1.2130000000000001</v>
      </c>
      <c r="M147" s="128">
        <f ca="1">IF(OFFSET(Scenarios!$A$72,0,$C$1)="Yes",0,M$148-L$148)</f>
        <v>0.97300000000000009</v>
      </c>
      <c r="N147" s="128">
        <f ca="1">IF(OFFSET(Scenarios!$A$72,0,$C$1)="Yes",0,N$148-M$148)</f>
        <v>1.0609999999999999</v>
      </c>
      <c r="O147" s="273">
        <f ca="1">IF(OFFSET(Scenarios!$A$72,0,$C$1)="Yes",0,IF(O$2="Proj Yr1",OFFSET(Scenarios!$A$27,0,$C$1),N$147*(1+OFFSET(Scenarios!$A$32,0,$C$1))))</f>
        <v>1.0609999999999999</v>
      </c>
      <c r="P147" s="273">
        <f ca="1">IF(OFFSET(Scenarios!$A$72,0,$C$1)="Yes",0,IF(P$2="Proj Yr1",OFFSET(Scenarios!$A$27,0,$C$1),O$147*(1+OFFSET(Scenarios!$A$32,0,$C$1))))</f>
        <v>1.08222</v>
      </c>
      <c r="Q147" s="273">
        <f ca="1">IF(OFFSET(Scenarios!$A$72,0,$C$1)="Yes",0,IF(Q$2="Proj Yr1",OFFSET(Scenarios!$A$27,0,$C$1),P$147*(1+OFFSET(Scenarios!$A$32,0,$C$1))))</f>
        <v>1.1038644</v>
      </c>
      <c r="R147" s="273">
        <f ca="1">IF(OFFSET(Scenarios!$A$72,0,$C$1)="Yes",0,IF(R$2="Proj Yr1",OFFSET(Scenarios!$A$27,0,$C$1),Q$147*(1+OFFSET(Scenarios!$A$32,0,$C$1))))</f>
        <v>1.1259416879999999</v>
      </c>
      <c r="S147" s="273">
        <f ca="1">IF(OFFSET(Scenarios!$A$72,0,$C$1)="Yes",0,IF(S$2="Proj Yr1",OFFSET(Scenarios!$A$27,0,$C$1),R$147*(1+OFFSET(Scenarios!$A$32,0,$C$1))))</f>
        <v>1.1484605217599999</v>
      </c>
      <c r="T147" s="273">
        <f ca="1">IF(OFFSET(Scenarios!$A$72,0,$C$1)="Yes",0,IF(T$2="Proj Yr1",OFFSET(Scenarios!$A$27,0,$C$1),S$147*(1+OFFSET(Scenarios!$A$32,0,$C$1))))</f>
        <v>1.1714297321951999</v>
      </c>
      <c r="U147" s="273">
        <f ca="1">IF(OFFSET(Scenarios!$A$72,0,$C$1)="Yes",0,IF(U$2="Proj Yr1",OFFSET(Scenarios!$A$27,0,$C$1),T$147*(1+OFFSET(Scenarios!$A$32,0,$C$1))))</f>
        <v>1.194858326839104</v>
      </c>
      <c r="V147" s="273">
        <f ca="1">IF(OFFSET(Scenarios!$A$72,0,$C$1)="Yes",0,IF(V$2="Proj Yr1",OFFSET(Scenarios!$A$27,0,$C$1),U$147*(1+OFFSET(Scenarios!$A$32,0,$C$1))))</f>
        <v>1.2187554933758862</v>
      </c>
      <c r="W147" s="273">
        <f ca="1">IF(OFFSET(Scenarios!$A$72,0,$C$1)="Yes",0,IF(W$2="Proj Yr1",OFFSET(Scenarios!$A$27,0,$C$1),V$147*(1+OFFSET(Scenarios!$A$32,0,$C$1))))</f>
        <v>1.243130603243404</v>
      </c>
      <c r="X147" s="273">
        <f ca="1">IF(OFFSET(Scenarios!$A$72,0,$C$1)="Yes",0,IF(X$2="Proj Yr1",OFFSET(Scenarios!$A$27,0,$C$1),W$147*(1+OFFSET(Scenarios!$A$32,0,$C$1))))</f>
        <v>1.267993215308272</v>
      </c>
    </row>
    <row r="148" spans="1:24" x14ac:dyDescent="0.2">
      <c r="A148" s="220" t="s">
        <v>976</v>
      </c>
      <c r="B148" s="228"/>
      <c r="C148" s="69"/>
      <c r="D148" s="174">
        <f>SUM(Data!C$54:C$55)</f>
        <v>0</v>
      </c>
      <c r="E148" s="174">
        <f>SUM(Data!D$54:D$55)</f>
        <v>0</v>
      </c>
      <c r="F148" s="174">
        <f>SUM(Data!E$54:E$55)</f>
        <v>0</v>
      </c>
      <c r="G148" s="174">
        <f>SUM(Data!F$54:F$55)</f>
        <v>0</v>
      </c>
      <c r="H148" s="174">
        <f>SUM(Data!G$54:G$55)</f>
        <v>0</v>
      </c>
      <c r="I148" s="174">
        <f>SUM(Data!H$54:H$55)</f>
        <v>0</v>
      </c>
      <c r="J148" s="153">
        <f>SUM(Data!I$54:I$55) + IF($I$1="Yes",J$317,0)</f>
        <v>-0.28800000000000003</v>
      </c>
      <c r="K148" s="153">
        <f>SUM(Data!J$54:J$55) + IF($I$1="Yes",K$317,0)</f>
        <v>-0.13899999999999996</v>
      </c>
      <c r="L148" s="153">
        <f>SUM(Data!K$54:K$55) + IF($I$1="Yes",L$317,0)</f>
        <v>1.0740000000000001</v>
      </c>
      <c r="M148" s="153">
        <f>SUM(Data!L$54:L$55) + IF($I$1="Yes",M$317,0)</f>
        <v>2.0470000000000002</v>
      </c>
      <c r="N148" s="153">
        <f>SUM(Data!M$54:M$55) + IF($I$1="Yes",N$317,0)</f>
        <v>3.1080000000000001</v>
      </c>
      <c r="O148" s="272">
        <f ca="1">N$148+IF(O$2="Proj Yr1",OFFSET(Scenarios!$A$27,0,$C$1),(N$148-M$148)*(1+OFFSET(Scenarios!$A$32,0,$C$1)))</f>
        <v>4.1690000000000005</v>
      </c>
      <c r="P148" s="272">
        <f ca="1">O$148+IF(P$2="Proj Yr1",OFFSET(Scenarios!$A$27,0,$C$1),(O$148-N$148)*(1+OFFSET(Scenarios!$A$32,0,$C$1)))</f>
        <v>5.2512200000000009</v>
      </c>
      <c r="Q148" s="272">
        <f ca="1">P$148+IF(Q$2="Proj Yr1",OFFSET(Scenarios!$A$27,0,$C$1),(P$148-O$148)*(1+OFFSET(Scenarios!$A$32,0,$C$1)))</f>
        <v>6.3550844000000009</v>
      </c>
      <c r="R148" s="272">
        <f ca="1">Q$148+IF(R$2="Proj Yr1",OFFSET(Scenarios!$A$27,0,$C$1),(Q$148-P$148)*(1+OFFSET(Scenarios!$A$32,0,$C$1)))</f>
        <v>7.481026088000001</v>
      </c>
      <c r="S148" s="272">
        <f ca="1">R$148+IF(S$2="Proj Yr1",OFFSET(Scenarios!$A$27,0,$C$1),(R$148-Q$148)*(1+OFFSET(Scenarios!$A$32,0,$C$1)))</f>
        <v>8.6294866097600007</v>
      </c>
      <c r="T148" s="272">
        <f ca="1">S$148+IF(T$2="Proj Yr1",OFFSET(Scenarios!$A$27,0,$C$1),(S$148-R$148)*(1+OFFSET(Scenarios!$A$32,0,$C$1)))</f>
        <v>9.800916341955201</v>
      </c>
      <c r="U148" s="272">
        <f ca="1">T$148+IF(U$2="Proj Yr1",OFFSET(Scenarios!$A$27,0,$C$1),(T$148-S$148)*(1+OFFSET(Scenarios!$A$32,0,$C$1)))</f>
        <v>10.995774668794306</v>
      </c>
      <c r="V148" s="272">
        <f ca="1">U$148+IF(V$2="Proj Yr1",OFFSET(Scenarios!$A$27,0,$C$1),(U$148-T$148)*(1+OFFSET(Scenarios!$A$32,0,$C$1)))</f>
        <v>12.214530162170194</v>
      </c>
      <c r="W148" s="272">
        <f ca="1">V$148+IF(W$2="Proj Yr1",OFFSET(Scenarios!$A$27,0,$C$1),(V$148-U$148)*(1+OFFSET(Scenarios!$A$32,0,$C$1)))</f>
        <v>13.4576607654136</v>
      </c>
      <c r="X148" s="272">
        <f ca="1">W$148+IF(X$2="Proj Yr1",OFFSET(Scenarios!$A$27,0,$C$1),(W$148-V$148)*(1+OFFSET(Scenarios!$A$32,0,$C$1)))</f>
        <v>14.725653980721875</v>
      </c>
    </row>
    <row r="149" spans="1:24" x14ac:dyDescent="0.2">
      <c r="A149" s="31"/>
      <c r="B149" s="69"/>
      <c r="C149" s="69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1:24" x14ac:dyDescent="0.2">
      <c r="A150" s="106" t="s">
        <v>605</v>
      </c>
      <c r="B150" s="69"/>
      <c r="C150" s="69"/>
      <c r="D150" s="174"/>
      <c r="E150" s="174"/>
      <c r="F150" s="174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x14ac:dyDescent="0.2">
      <c r="A151" s="27" t="s">
        <v>306</v>
      </c>
      <c r="B151" s="228"/>
      <c r="C151" s="69"/>
      <c r="D151" s="99">
        <f>Data!C$110</f>
        <v>1.1180000000000001</v>
      </c>
      <c r="E151" s="99">
        <f>Data!D$110</f>
        <v>0.872</v>
      </c>
      <c r="F151" s="99">
        <f>Data!E$110</f>
        <v>3.375</v>
      </c>
      <c r="G151" s="99">
        <f>Data!F$110</f>
        <v>4.9729999999999999</v>
      </c>
      <c r="H151" s="99">
        <f>Data!G$110</f>
        <v>6.0869999999999997</v>
      </c>
      <c r="I151" s="99">
        <f>Data!H$110</f>
        <v>6.7560000000000002</v>
      </c>
      <c r="J151" s="128">
        <f>Data!I$110</f>
        <v>11.811</v>
      </c>
      <c r="K151" s="128">
        <f>Data!J$110</f>
        <v>11.73</v>
      </c>
      <c r="L151" s="128">
        <f>Data!K$110</f>
        <v>11.769</v>
      </c>
      <c r="M151" s="128">
        <f>Data!L$110</f>
        <v>11.946999999999999</v>
      </c>
      <c r="N151" s="128">
        <f>Data!M$110</f>
        <v>12.086</v>
      </c>
      <c r="O151" s="100">
        <f t="shared" ref="O151:X151" ca="1" si="69">N$151*(1+O$247)</f>
        <v>12.332337992006394</v>
      </c>
      <c r="P151" s="100">
        <f t="shared" ca="1" si="69"/>
        <v>12.578984751846523</v>
      </c>
      <c r="Q151" s="100">
        <f t="shared" ca="1" si="69"/>
        <v>12.830564446883454</v>
      </c>
      <c r="R151" s="100">
        <f t="shared" ca="1" si="69"/>
        <v>13.087175735821123</v>
      </c>
      <c r="S151" s="100">
        <f t="shared" ca="1" si="69"/>
        <v>13.348919250537547</v>
      </c>
      <c r="T151" s="100">
        <f t="shared" ca="1" si="69"/>
        <v>13.615897635548297</v>
      </c>
      <c r="U151" s="100">
        <f t="shared" ca="1" si="69"/>
        <v>13.888215588259262</v>
      </c>
      <c r="V151" s="100">
        <f t="shared" ca="1" si="69"/>
        <v>14.165979900024448</v>
      </c>
      <c r="W151" s="100">
        <f t="shared" ca="1" si="69"/>
        <v>14.449299498024937</v>
      </c>
      <c r="X151" s="100">
        <f t="shared" ca="1" si="69"/>
        <v>14.738285487985436</v>
      </c>
    </row>
    <row r="152" spans="1:24" x14ac:dyDescent="0.2">
      <c r="A152" s="27" t="s">
        <v>606</v>
      </c>
      <c r="B152" s="228"/>
      <c r="C152" s="69"/>
      <c r="D152" s="99">
        <f>Data!C$58</f>
        <v>4.1630000000000003</v>
      </c>
      <c r="E152" s="99">
        <f>Data!D$58</f>
        <v>3.8039999999999998</v>
      </c>
      <c r="F152" s="99">
        <f>Data!E$58</f>
        <v>6.2679999999999998</v>
      </c>
      <c r="G152" s="99">
        <f>Data!F$58</f>
        <v>7.774</v>
      </c>
      <c r="H152" s="99">
        <f>Data!G$58</f>
        <v>9.8010000000000002</v>
      </c>
      <c r="I152" s="99">
        <f>Data!H$58</f>
        <v>10.686</v>
      </c>
      <c r="J152" s="128">
        <f>Data!I$58</f>
        <v>16.492000000000001</v>
      </c>
      <c r="K152" s="128">
        <f>Data!J$58</f>
        <v>15.244</v>
      </c>
      <c r="L152" s="128">
        <f>Data!K$58</f>
        <v>14.53</v>
      </c>
      <c r="M152" s="128">
        <f>Data!L$58</f>
        <v>14.680999999999999</v>
      </c>
      <c r="N152" s="128">
        <f>Data!M$58</f>
        <v>14.752000000000001</v>
      </c>
      <c r="O152" s="42">
        <f t="shared" ref="O152:X152" ca="1" si="70">N$152*(1+O$247)</f>
        <v>15.052676655475619</v>
      </c>
      <c r="P152" s="42">
        <f t="shared" ca="1" si="70"/>
        <v>15.353730188585132</v>
      </c>
      <c r="Q152" s="42">
        <f t="shared" ca="1" si="70"/>
        <v>15.660804792356835</v>
      </c>
      <c r="R152" s="42">
        <f t="shared" ca="1" si="70"/>
        <v>15.974020888203972</v>
      </c>
      <c r="S152" s="42">
        <f t="shared" ca="1" si="70"/>
        <v>16.29350130596805</v>
      </c>
      <c r="T152" s="42">
        <f t="shared" ca="1" si="70"/>
        <v>16.619371332087411</v>
      </c>
      <c r="U152" s="42">
        <f t="shared" ca="1" si="70"/>
        <v>16.951758758729159</v>
      </c>
      <c r="V152" s="42">
        <f t="shared" ca="1" si="70"/>
        <v>17.290793933903743</v>
      </c>
      <c r="W152" s="42">
        <f t="shared" ca="1" si="70"/>
        <v>17.636609812581817</v>
      </c>
      <c r="X152" s="42">
        <f t="shared" ca="1" si="70"/>
        <v>17.989342008833454</v>
      </c>
    </row>
    <row r="153" spans="1:24" x14ac:dyDescent="0.2">
      <c r="A153" s="27" t="s">
        <v>307</v>
      </c>
      <c r="B153" s="228"/>
      <c r="C153" s="69"/>
      <c r="D153" s="99">
        <f>Data!C$111</f>
        <v>7.59</v>
      </c>
      <c r="E153" s="99">
        <f>Data!D$111</f>
        <v>9.0310000000000006</v>
      </c>
      <c r="F153" s="99">
        <f>Data!E$111</f>
        <v>10.243</v>
      </c>
      <c r="G153" s="99">
        <f>Data!F$111</f>
        <v>8.7759999999999998</v>
      </c>
      <c r="H153" s="99">
        <f>Data!G$111</f>
        <v>11.375999999999999</v>
      </c>
      <c r="I153" s="99">
        <f>Data!H$111</f>
        <v>10.974</v>
      </c>
      <c r="J153" s="128">
        <f>Data!I$111</f>
        <v>10.36</v>
      </c>
      <c r="K153" s="128">
        <f>Data!J$111</f>
        <v>10.26</v>
      </c>
      <c r="L153" s="128">
        <f>Data!K$111</f>
        <v>10.268000000000001</v>
      </c>
      <c r="M153" s="128">
        <f>Data!L$111</f>
        <v>10.180999999999999</v>
      </c>
      <c r="N153" s="128">
        <f>Data!M$111</f>
        <v>10.239000000000001</v>
      </c>
      <c r="O153" s="42">
        <f t="shared" ref="O153:X153" ca="1" si="71">N$153*(1+O$247)</f>
        <v>10.447692263788969</v>
      </c>
      <c r="P153" s="42">
        <f t="shared" ca="1" si="71"/>
        <v>10.656646109064749</v>
      </c>
      <c r="Q153" s="42">
        <f t="shared" ca="1" si="71"/>
        <v>10.869779031246043</v>
      </c>
      <c r="R153" s="42">
        <f t="shared" ca="1" si="71"/>
        <v>11.087174611870964</v>
      </c>
      <c r="S153" s="42">
        <f t="shared" ca="1" si="71"/>
        <v>11.308918104108383</v>
      </c>
      <c r="T153" s="42">
        <f t="shared" ca="1" si="71"/>
        <v>11.53509646619055</v>
      </c>
      <c r="U153" s="42">
        <f t="shared" ca="1" si="71"/>
        <v>11.765798395514361</v>
      </c>
      <c r="V153" s="42">
        <f t="shared" ca="1" si="71"/>
        <v>12.001114363424648</v>
      </c>
      <c r="W153" s="42">
        <f t="shared" ca="1" si="71"/>
        <v>12.241136650693141</v>
      </c>
      <c r="X153" s="42">
        <f t="shared" ca="1" si="71"/>
        <v>12.485959383707005</v>
      </c>
    </row>
    <row r="154" spans="1:24" x14ac:dyDescent="0.2">
      <c r="A154" s="27" t="s">
        <v>309</v>
      </c>
      <c r="B154" s="228"/>
      <c r="C154" s="69"/>
      <c r="D154" s="99">
        <f>Data!C$59</f>
        <v>12.058</v>
      </c>
      <c r="E154" s="99">
        <f>Data!D$59</f>
        <v>14.157999999999999</v>
      </c>
      <c r="F154" s="99">
        <f>Data!E$59</f>
        <v>14.619</v>
      </c>
      <c r="G154" s="99">
        <f>Data!F$59</f>
        <v>13.884</v>
      </c>
      <c r="H154" s="99">
        <f>Data!G$59</f>
        <v>21.69</v>
      </c>
      <c r="I154" s="99">
        <f>Data!H$59</f>
        <v>20.956</v>
      </c>
      <c r="J154" s="128">
        <f>Data!I$59</f>
        <v>19.189</v>
      </c>
      <c r="K154" s="128">
        <f>Data!J$59</f>
        <v>18.07</v>
      </c>
      <c r="L154" s="128">
        <f>Data!K$59</f>
        <v>16.856999999999999</v>
      </c>
      <c r="M154" s="128">
        <f>Data!L$59</f>
        <v>16.431999999999999</v>
      </c>
      <c r="N154" s="128">
        <f>Data!M$59</f>
        <v>16.552</v>
      </c>
      <c r="O154" s="42">
        <f t="shared" ref="O154:X154" ca="1" si="72">N$154*(1+O$247)</f>
        <v>16.889364425259792</v>
      </c>
      <c r="P154" s="42">
        <f t="shared" ca="1" si="72"/>
        <v>17.227151713764989</v>
      </c>
      <c r="Q154" s="42">
        <f t="shared" ca="1" si="72"/>
        <v>17.57169474804029</v>
      </c>
      <c r="R154" s="42">
        <f t="shared" ca="1" si="72"/>
        <v>17.923128643001096</v>
      </c>
      <c r="S154" s="42">
        <f t="shared" ca="1" si="72"/>
        <v>18.28159121586112</v>
      </c>
      <c r="T154" s="42">
        <f t="shared" ca="1" si="72"/>
        <v>18.647223040178343</v>
      </c>
      <c r="U154" s="42">
        <f t="shared" ca="1" si="72"/>
        <v>19.020167500981909</v>
      </c>
      <c r="V154" s="42">
        <f t="shared" ca="1" si="72"/>
        <v>19.400570851001547</v>
      </c>
      <c r="W154" s="42">
        <f t="shared" ca="1" si="72"/>
        <v>19.788582268021578</v>
      </c>
      <c r="X154" s="42">
        <f t="shared" ca="1" si="72"/>
        <v>20.184353913382012</v>
      </c>
    </row>
    <row r="155" spans="1:24" x14ac:dyDescent="0.2">
      <c r="A155" s="27"/>
      <c r="B155" s="69"/>
      <c r="C155" s="69"/>
      <c r="D155" s="99"/>
      <c r="E155" s="99"/>
      <c r="F155" s="99"/>
      <c r="G155" s="99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</row>
    <row r="156" spans="1:24" x14ac:dyDescent="0.2">
      <c r="A156" s="106" t="s">
        <v>609</v>
      </c>
      <c r="B156" s="69"/>
      <c r="C156" s="69"/>
      <c r="D156" s="99"/>
      <c r="E156" s="99"/>
      <c r="F156" s="99"/>
      <c r="G156" s="99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</row>
    <row r="157" spans="1:24" x14ac:dyDescent="0.2">
      <c r="A157" s="31" t="s">
        <v>753</v>
      </c>
      <c r="B157" s="228"/>
      <c r="C157" s="69"/>
      <c r="D157" s="69">
        <f>ROUND(D$161*(Data!C$169-Data!C$173*2/3)/(SUM(Data!C$169:C$172)-SUM(Data!C$111,Data!C$173,Data!C$190)),3)</f>
        <v>9.0779999999999994</v>
      </c>
      <c r="E157" s="69">
        <f>ROUND(E$161*(Data!D$169-Data!D$173*2/3)/(SUM(Data!D$169:D$172)-SUM(Data!D$111,Data!D$173,Data!D$190)),3)</f>
        <v>12.641</v>
      </c>
      <c r="F157" s="69">
        <f>ROUND(F$161*(Data!E$169-Data!E$173*2/3)/(SUM(Data!E$169:E$172)-SUM(Data!E$111,Data!E$173,Data!E$190)),3)</f>
        <v>13.839</v>
      </c>
      <c r="G157" s="69">
        <f>ROUND(G$161*(Data!F$169-Data!F$173*2/3)/(SUM(Data!F$169:F$172)-SUM(Data!F$111,Data!F$173,Data!F$190)),3)</f>
        <v>14.26</v>
      </c>
      <c r="H157" s="69">
        <f>ROUND(H$161*(Data!G$169-Data!G$173*2/3)/(SUM(Data!G$169:G$172)-SUM(Data!G$111,Data!G$173,Data!G$190)),3)</f>
        <v>19.242000000000001</v>
      </c>
      <c r="I157" s="69">
        <f>ROUND(I$161*(Data!H$169-Data!H$173*2/3)/(SUM(Data!H$169:H$172)-SUM(Data!H$111,Data!H$173,Data!H$190)),3)</f>
        <v>16.286999999999999</v>
      </c>
      <c r="J157" s="103">
        <f>ROUND((J$161 - IF($I$1="Yes",J$322,0) - IF($L$1="Yes",J$357,0))*(Data!I$169-Data!I$173*2/3)/(SUM(Data!I$169:I$172)-SUM(Data!I$111,Data!I$173,Data!I$190)),3) + IF($I$1="Yes",J$322,0)</f>
        <v>8.48</v>
      </c>
      <c r="K157" s="103">
        <f>ROUND((K$161 - IF($I$1="Yes",K$322,0) - IF($L$1="Yes",K$357,0))*(Data!J$169-Data!J$173*2/3)/(SUM(Data!J$169:J$172)-SUM(Data!J$111,Data!J$173,Data!J$190)),3) + IF($I$1="Yes",K$322,0)</f>
        <v>10.891999999999999</v>
      </c>
      <c r="L157" s="103">
        <f>ROUND((L$161 - IF($I$1="Yes",L$322,0) - IF($L$1="Yes",L$357,0))*(Data!K$169-Data!K$173*2/3)/(SUM(Data!K$169:K$172)-SUM(Data!K$111,Data!K$173,Data!K$190)),3) + IF($I$1="Yes",L$322,0)</f>
        <v>5.4550000000000001</v>
      </c>
      <c r="M157" s="103">
        <f>ROUND((M$161 - IF($I$1="Yes",M$322,0) - IF($L$1="Yes",M$357,0))*(Data!L$169-Data!L$173*2/3)/(SUM(Data!L$169:L$172)-SUM(Data!L$111,Data!L$173,Data!L$190)),3) + IF($I$1="Yes",M$322,0)</f>
        <v>7.8070000000000004</v>
      </c>
      <c r="N157" s="103">
        <f>ROUND((N$161 - IF($I$1="Yes",N$322,0) - IF($L$1="Yes",N$357,0))*(Data!M$169-Data!M$173*2/3)/(SUM(Data!M$169:M$172)-SUM(Data!M$111,Data!M$173,Data!M$190)),3) + IF($I$1="Yes",N$322,0)</f>
        <v>12.255000000000001</v>
      </c>
      <c r="O157" s="73">
        <f t="shared" ref="O157:X157" ca="1" si="73">N$157*(1+O$247)</f>
        <v>12.504782565947242</v>
      </c>
      <c r="P157" s="73">
        <f t="shared" ca="1" si="73"/>
        <v>12.754878217266187</v>
      </c>
      <c r="Q157" s="73">
        <f t="shared" ca="1" si="73"/>
        <v>13.00997578161151</v>
      </c>
      <c r="R157" s="73">
        <f t="shared" ca="1" si="73"/>
        <v>13.270175297243741</v>
      </c>
      <c r="S157" s="73">
        <f t="shared" ca="1" si="73"/>
        <v>13.535578803188615</v>
      </c>
      <c r="T157" s="73">
        <f t="shared" ca="1" si="73"/>
        <v>13.806290379252388</v>
      </c>
      <c r="U157" s="73">
        <f t="shared" ca="1" si="73"/>
        <v>14.082416186837436</v>
      </c>
      <c r="V157" s="73">
        <f t="shared" ca="1" si="73"/>
        <v>14.364064510574185</v>
      </c>
      <c r="W157" s="73">
        <f t="shared" ca="1" si="73"/>
        <v>14.651345800785668</v>
      </c>
      <c r="X157" s="73">
        <f t="shared" ca="1" si="73"/>
        <v>14.944372716801382</v>
      </c>
    </row>
    <row r="158" spans="1:24" x14ac:dyDescent="0.2">
      <c r="A158" s="31" t="s">
        <v>749</v>
      </c>
      <c r="B158" s="228"/>
      <c r="C158" s="69"/>
      <c r="D158" s="69">
        <f>ROUND(D$161*(Data!C$170-Data!C$173*1/3)/(SUM(Data!C$169:C$172)-SUM(Data!C$111,Data!C$173,Data!C$190)),3)</f>
        <v>12.757</v>
      </c>
      <c r="E158" s="69">
        <f>ROUND(E$161*(Data!D$170-Data!D$173*1/3)/(SUM(Data!D$169:D$172)-SUM(Data!D$111,Data!D$173,Data!D$190)),3)</f>
        <v>13.375</v>
      </c>
      <c r="F158" s="69">
        <f>ROUND(F$161*(Data!E$170-Data!E$173*1/3)/(SUM(Data!E$169:E$172)-SUM(Data!E$111,Data!E$173,Data!E$190)),3)</f>
        <v>16.248999999999999</v>
      </c>
      <c r="G158" s="69">
        <f>ROUND(G$161*(Data!F$170-Data!F$173*1/3)/(SUM(Data!F$169:F$172)-SUM(Data!F$111,Data!F$173,Data!F$190)),3)</f>
        <v>13.423999999999999</v>
      </c>
      <c r="H158" s="69">
        <f>ROUND(H$161*(Data!G$170-Data!G$173*1/3)/(SUM(Data!G$169:G$172)-SUM(Data!G$111,Data!G$173,Data!G$190)),3)</f>
        <v>12</v>
      </c>
      <c r="I158" s="69">
        <f>ROUND(I$161*(Data!H$170-Data!H$173*1/3)/(SUM(Data!H$169:H$172)-SUM(Data!H$111,Data!H$173,Data!H$190)),3)</f>
        <v>11.704000000000001</v>
      </c>
      <c r="J158" s="103">
        <f>ROUND((J$161 - IF($I$1="Yes",J$322,0) - IF($L$1="Yes",J$357,0))*(Data!I$170-Data!I$173*1/3)/(SUM(Data!I$169:I$172)-SUM(Data!I$111,Data!I$173,Data!I$190)),3) + IF($I$1="Yes",J$322,0)</f>
        <v>10.801</v>
      </c>
      <c r="K158" s="103">
        <f>ROUND((K$161 - IF($I$1="Yes",K$322,0) - IF($L$1="Yes",K$357,0))*(Data!J$170-Data!J$173*1/3)/(SUM(Data!J$169:J$172)-SUM(Data!J$111,Data!J$173,Data!J$190)),3) + IF($I$1="Yes",K$322,0)</f>
        <v>11.103999999999999</v>
      </c>
      <c r="L158" s="103">
        <f>ROUND((L$161 - IF($I$1="Yes",L$322,0) - IF($L$1="Yes",L$357,0))*(Data!K$170-Data!K$173*1/3)/(SUM(Data!K$169:K$172)-SUM(Data!K$111,Data!K$173,Data!K$190)),3) + IF($I$1="Yes",L$322,0)</f>
        <v>10.526</v>
      </c>
      <c r="M158" s="103">
        <f>ROUND((M$161 - IF($I$1="Yes",M$322,0) - IF($L$1="Yes",M$357,0))*(Data!L$170-Data!L$173*1/3)/(SUM(Data!L$169:L$172)-SUM(Data!L$111,Data!L$173,Data!L$190)),3) + IF($I$1="Yes",M$322,0)</f>
        <v>11.093</v>
      </c>
      <c r="N158" s="103">
        <f>ROUND((N$161 - IF($I$1="Yes",N$322,0) - IF($L$1="Yes",N$357,0))*(Data!M$170-Data!M$173*1/3)/(SUM(Data!M$169:M$172)-SUM(Data!M$111,Data!M$173,Data!M$190)),3) + IF($I$1="Yes",N$322,0)</f>
        <v>11.851000000000001</v>
      </c>
      <c r="O158" s="73">
        <f t="shared" ref="O158:X158" ca="1" si="74">N$158*(1+O$247)</f>
        <v>12.092548199840127</v>
      </c>
      <c r="P158" s="73">
        <f t="shared" ca="1" si="74"/>
        <v>12.334399163836931</v>
      </c>
      <c r="Q158" s="73">
        <f t="shared" ca="1" si="74"/>
        <v>12.581087147113671</v>
      </c>
      <c r="R158" s="73">
        <f t="shared" ca="1" si="74"/>
        <v>12.832708890055944</v>
      </c>
      <c r="S158" s="73">
        <f t="shared" ca="1" si="74"/>
        <v>13.089363067857063</v>
      </c>
      <c r="T158" s="73">
        <f t="shared" ca="1" si="74"/>
        <v>13.351150329214205</v>
      </c>
      <c r="U158" s="73">
        <f t="shared" ca="1" si="74"/>
        <v>13.61817333579849</v>
      </c>
      <c r="V158" s="73">
        <f t="shared" ca="1" si="74"/>
        <v>13.890536802514459</v>
      </c>
      <c r="W158" s="73">
        <f t="shared" ca="1" si="74"/>
        <v>14.168347538564749</v>
      </c>
      <c r="X158" s="73">
        <f t="shared" ca="1" si="74"/>
        <v>14.451714489336045</v>
      </c>
    </row>
    <row r="159" spans="1:24" x14ac:dyDescent="0.2">
      <c r="A159" s="31" t="s">
        <v>314</v>
      </c>
      <c r="B159" s="228"/>
      <c r="C159" s="69"/>
      <c r="D159" s="69">
        <f>ROUND(D$161*Data!C$171/(SUM(Data!C$169:C$172)-SUM(Data!C$111,Data!C$173,Data!C$190)),3)</f>
        <v>11.206</v>
      </c>
      <c r="E159" s="69">
        <f>ROUND(E$161*Data!D$171/(SUM(Data!D$169:D$172)-SUM(Data!D$111,Data!D$173,Data!D$190)),3)</f>
        <v>12.33</v>
      </c>
      <c r="F159" s="69">
        <f>ROUND(F$161*Data!E$171/(SUM(Data!E$169:E$172)-SUM(Data!E$111,Data!E$173,Data!E$190)),3)</f>
        <v>10.964</v>
      </c>
      <c r="G159" s="69">
        <f>ROUND(G$161*Data!F$171/(SUM(Data!F$169:F$172)-SUM(Data!F$111,Data!F$173,Data!F$190)),3)</f>
        <v>12.693</v>
      </c>
      <c r="H159" s="69">
        <f>ROUND(H$161*Data!G$171/(SUM(Data!G$169:G$172)-SUM(Data!G$111,Data!G$173,Data!G$190)),3)</f>
        <v>15.097</v>
      </c>
      <c r="I159" s="69">
        <f>ROUND(I$161*Data!H$171/(SUM(Data!H$169:H$172)-SUM(Data!H$111,Data!H$173,Data!H$190)),3)</f>
        <v>14.747</v>
      </c>
      <c r="J159" s="103">
        <f>ROUND((J$161 - IF($I$1="Yes",J$322,0) - IF($L$1="Yes",J$357,0))*Data!I$171/(SUM(Data!I$169:I$172)-SUM(Data!I$111,Data!I$173,Data!I$190)),3) + IF($L$1="Yes",J$357,0)</f>
        <v>15.335000000000001</v>
      </c>
      <c r="K159" s="103">
        <f>ROUND((K$161 - IF($I$1="Yes",K$322,0) - IF($L$1="Yes",K$357,0))*Data!J$171/(SUM(Data!J$169:J$172)-SUM(Data!J$111,Data!J$173,Data!J$190)),3) + IF($L$1="Yes",K$357,0)</f>
        <v>16.582000000000001</v>
      </c>
      <c r="L159" s="103">
        <f>ROUND((L$161 - IF($I$1="Yes",L$322,0) - IF($L$1="Yes",L$357,0))*Data!K$171/(SUM(Data!K$169:K$172)-SUM(Data!K$111,Data!K$173,Data!K$190)),3) + IF($L$1="Yes",L$357,0)</f>
        <v>16.523</v>
      </c>
      <c r="M159" s="103">
        <f>ROUND((M$161 - IF($I$1="Yes",M$322,0) - IF($L$1="Yes",M$357,0))*Data!L$171/(SUM(Data!L$169:L$172)-SUM(Data!L$111,Data!L$173,Data!L$190)),3) + IF($L$1="Yes",M$357,0)</f>
        <v>18.244</v>
      </c>
      <c r="N159" s="103">
        <f>ROUND((N$161 - IF($I$1="Yes",N$322,0) - IF($L$1="Yes",N$357,0))*Data!M$171/(SUM(Data!M$169:M$172)-SUM(Data!M$111,Data!M$173,Data!M$190)),3) + IF($L$1="Yes",N$357,0)</f>
        <v>20.646000000000001</v>
      </c>
      <c r="O159" s="73">
        <f t="shared" ref="O159:X159" si="75">N$159*O$176/N$176</f>
        <v>21.837498837914328</v>
      </c>
      <c r="P159" s="73">
        <f t="shared" si="75"/>
        <v>23.114721916703139</v>
      </c>
      <c r="Q159" s="73">
        <f t="shared" si="75"/>
        <v>24.484600567297051</v>
      </c>
      <c r="R159" s="73">
        <f t="shared" si="75"/>
        <v>27.942522137744856</v>
      </c>
      <c r="S159" s="73">
        <f t="shared" si="75"/>
        <v>31.523403011106947</v>
      </c>
      <c r="T159" s="73">
        <f t="shared" si="75"/>
        <v>35.217911631070024</v>
      </c>
      <c r="U159" s="73">
        <f t="shared" si="75"/>
        <v>38.990563840694705</v>
      </c>
      <c r="V159" s="73">
        <f t="shared" si="75"/>
        <v>42.831227892635233</v>
      </c>
      <c r="W159" s="73">
        <f t="shared" si="75"/>
        <v>46.701656000720298</v>
      </c>
      <c r="X159" s="73">
        <f t="shared" si="75"/>
        <v>50.576892507296414</v>
      </c>
    </row>
    <row r="160" spans="1:24" x14ac:dyDescent="0.2">
      <c r="A160" s="31" t="s">
        <v>521</v>
      </c>
      <c r="B160" s="228"/>
      <c r="C160" s="69"/>
      <c r="D160" s="173">
        <f>ROUND(D$161*(Data!C$172-SUM(Data!C$111,Data!C$190))/(SUM(Data!C$169:C$172)-SUM(Data!C$111,Data!C$173,Data!C$190)),3)</f>
        <v>1.2490000000000001</v>
      </c>
      <c r="E160" s="173">
        <f>ROUND(E$161*(Data!D$172-SUM(Data!D$111,Data!D$190))/(SUM(Data!D$169:D$172)-SUM(Data!D$111,Data!D$173,Data!D$190)),3)</f>
        <v>1.103</v>
      </c>
      <c r="F160" s="173">
        <f>ROUND(F$161*(Data!E$172-SUM(Data!E$111,Data!E$190))/(SUM(Data!E$169:E$172)-SUM(Data!E$111,Data!E$173,Data!E$190)),3)</f>
        <v>0.51300000000000001</v>
      </c>
      <c r="G160" s="173">
        <f>ROUND(G$161*(Data!F$172-SUM(Data!F$111,Data!F$190))/(SUM(Data!F$169:F$172)-SUM(Data!F$111,Data!F$173,Data!F$190)),3)</f>
        <v>0.76900000000000002</v>
      </c>
      <c r="H160" s="173">
        <f>ROUND(H$161*(Data!G$172-SUM(Data!G$111,Data!G$190))/(SUM(Data!G$169:G$172)-SUM(Data!G$111,Data!G$173,Data!G$190)),3)</f>
        <v>0.22600000000000001</v>
      </c>
      <c r="I160" s="173">
        <f>ROUND(I$161*(Data!H$172-SUM(Data!H$111,Data!H$190))/(SUM(Data!H$169:H$172)-SUM(Data!H$111,Data!H$173,Data!H$190)),3)</f>
        <v>0.93300000000000005</v>
      </c>
      <c r="J160" s="127">
        <f>ROUND((J$161 - IF($I$1="Yes",J$322,0) - IF($L$1="Yes",J$357,0))*(Data!I$172-SUM(Data!I$111,Data!I$190))/(SUM(Data!I$169:I$172)-SUM(Data!I$111,Data!I$173,Data!I$190)),3)</f>
        <v>1.125</v>
      </c>
      <c r="K160" s="127">
        <f>ROUND((K$161 - IF($I$1="Yes",K$322,0) - IF($L$1="Yes",K$357,0))*(Data!J$172-SUM(Data!J$111,Data!J$190))/(SUM(Data!J$169:J$172)-SUM(Data!J$111,Data!J$173,Data!J$190)),3)</f>
        <v>0.84299999999999997</v>
      </c>
      <c r="L160" s="127">
        <f>ROUND((L$161 - IF($I$1="Yes",L$322,0) - IF($L$1="Yes",L$357,0))*(Data!K$172-SUM(Data!K$111,Data!K$190))/(SUM(Data!K$169:K$172)-SUM(Data!K$111,Data!K$173,Data!K$190)),3)</f>
        <v>0.47499999999999998</v>
      </c>
      <c r="M160" s="127">
        <f>ROUND((M$161 - IF($I$1="Yes",M$322,0) - IF($L$1="Yes",M$357,0))*(Data!L$172-SUM(Data!L$111,Data!L$190))/(SUM(Data!L$169:L$172)-SUM(Data!L$111,Data!L$173,Data!L$190)),3)</f>
        <v>0.46800000000000003</v>
      </c>
      <c r="N160" s="127">
        <f>ROUND((N$161 - IF($I$1="Yes",N$322,0) - IF($L$1="Yes",N$357,0))*(Data!M$172-SUM(Data!M$111,Data!M$190))/(SUM(Data!M$169:M$172)-SUM(Data!M$111,Data!M$173,Data!M$190)),3)</f>
        <v>0.51200000000000001</v>
      </c>
      <c r="O160" s="81">
        <f t="shared" ref="O160:X160" ca="1" si="76">N$160*(1+O$247)</f>
        <v>0.52243563229416468</v>
      </c>
      <c r="P160" s="81">
        <f t="shared" ca="1" si="76"/>
        <v>0.53288434494004799</v>
      </c>
      <c r="Q160" s="81">
        <f t="shared" ca="1" si="76"/>
        <v>0.54354203183884897</v>
      </c>
      <c r="R160" s="81">
        <f t="shared" ca="1" si="76"/>
        <v>0.55441287247562598</v>
      </c>
      <c r="S160" s="81">
        <f t="shared" ca="1" si="76"/>
        <v>0.56550112992513857</v>
      </c>
      <c r="T160" s="81">
        <f t="shared" ca="1" si="76"/>
        <v>0.57681115252364135</v>
      </c>
      <c r="U160" s="81">
        <f t="shared" ca="1" si="76"/>
        <v>0.58834737557411421</v>
      </c>
      <c r="V160" s="81">
        <f t="shared" ca="1" si="76"/>
        <v>0.60011432308559653</v>
      </c>
      <c r="W160" s="81">
        <f t="shared" ca="1" si="76"/>
        <v>0.61211660954730851</v>
      </c>
      <c r="X160" s="81">
        <f t="shared" ca="1" si="76"/>
        <v>0.62435894173825468</v>
      </c>
    </row>
    <row r="161" spans="1:24" x14ac:dyDescent="0.2">
      <c r="A161" s="27" t="s">
        <v>313</v>
      </c>
      <c r="B161" s="228"/>
      <c r="C161" s="69"/>
      <c r="D161" s="71">
        <f>Data!C$112-SUM(Data!C$92,Data!C$204)</f>
        <v>34.290000000000006</v>
      </c>
      <c r="E161" s="71">
        <f>Data!D$112-SUM(Data!D$92,Data!D$204)</f>
        <v>39.448999999999998</v>
      </c>
      <c r="F161" s="71">
        <f>Data!E$112-SUM(Data!E$92,Data!E$204)</f>
        <v>41.565999999999995</v>
      </c>
      <c r="G161" s="71">
        <f>Data!F$112-SUM(Data!F$92,Data!F$204)</f>
        <v>41.144999999999996</v>
      </c>
      <c r="H161" s="71">
        <f>Data!G$112-SUM(Data!G$92,Data!G$204)</f>
        <v>46.564999999999998</v>
      </c>
      <c r="I161" s="71">
        <f>Data!H$112-SUM(Data!H$92,Data!H$204)</f>
        <v>43.670999999999999</v>
      </c>
      <c r="J161" s="128">
        <f>Data!I$112-SUM(Data!I$92,Data!I$204) + IF($I$1="Yes",J$322,0) + IF($L$1="Yes",J$357,0)</f>
        <v>35.74089</v>
      </c>
      <c r="K161" s="128">
        <f>Data!J$112-SUM(Data!J$92,Data!J$204) + IF($I$1="Yes",K$322,0) + IF($L$1="Yes",K$357,0)</f>
        <v>39.42089</v>
      </c>
      <c r="L161" s="128">
        <f>Data!K$112-SUM(Data!K$92,Data!K$204) + IF($I$1="Yes",L$322,0) + IF($L$1="Yes",L$357,0)</f>
        <v>32.979889999999997</v>
      </c>
      <c r="M161" s="128">
        <f>Data!L$112-SUM(Data!L$92,Data!L$204) + IF($I$1="Yes",M$322,0) + IF($L$1="Yes",M$357,0)</f>
        <v>37.611890000000002</v>
      </c>
      <c r="N161" s="128">
        <f>Data!M$112-SUM(Data!M$92,Data!M$204) + IF($I$1="Yes",N$322,0) + IF($L$1="Yes",N$357,0)</f>
        <v>45.264890000000008</v>
      </c>
      <c r="O161" s="42">
        <f ca="1">SUM(O$157:O$160)</f>
        <v>46.957265235995862</v>
      </c>
      <c r="P161" s="42">
        <f t="shared" ref="P161:X161" ca="1" si="77">SUM(P$157:P$160)</f>
        <v>48.736883642746307</v>
      </c>
      <c r="Q161" s="42">
        <f t="shared" ca="1" si="77"/>
        <v>50.619205527861077</v>
      </c>
      <c r="R161" s="42">
        <f t="shared" ca="1" si="77"/>
        <v>54.599819197520162</v>
      </c>
      <c r="S161" s="42">
        <f t="shared" ca="1" si="77"/>
        <v>58.713846012077767</v>
      </c>
      <c r="T161" s="42">
        <f t="shared" ca="1" si="77"/>
        <v>62.952163492060258</v>
      </c>
      <c r="U161" s="42">
        <f t="shared" ca="1" si="77"/>
        <v>67.279500738904744</v>
      </c>
      <c r="V161" s="42">
        <f t="shared" ca="1" si="77"/>
        <v>71.685943528809474</v>
      </c>
      <c r="W161" s="42">
        <f t="shared" ca="1" si="77"/>
        <v>76.133465949618028</v>
      </c>
      <c r="X161" s="42">
        <f t="shared" ca="1" si="77"/>
        <v>80.597338655172095</v>
      </c>
    </row>
    <row r="162" spans="1:24" x14ac:dyDescent="0.2">
      <c r="A162" s="152" t="s">
        <v>614</v>
      </c>
      <c r="B162" s="228"/>
      <c r="C162" s="69"/>
      <c r="D162" s="69">
        <f>ROUND((D$164-D$161)*SUM(Data!C$174:C$176,-Data!C$177,-Data!C$179*2/3)/SUM(Data!C$174:C$176,-Data!C$177,Data!C$178,-Data!C$179),3)</f>
        <v>8.43</v>
      </c>
      <c r="E162" s="69">
        <f>ROUND((E$164-E$161)*SUM(Data!D$174:D$176,-Data!D$177,-Data!D$179*2/3)/SUM(Data!D$174:D$176,-Data!D$177,Data!D$178,-Data!D$179),3)</f>
        <v>9.89</v>
      </c>
      <c r="F162" s="69">
        <f>ROUND((F$164-F$161)*SUM(Data!E$174:E$176,-Data!E$177,-Data!E$179*2/3)/SUM(Data!E$174:E$176,-Data!E$177,Data!E$178,-Data!E$179),3)</f>
        <v>9.452</v>
      </c>
      <c r="G162" s="69">
        <f>ROUND((G$164-G$161)*SUM(Data!F$174:F$176,-Data!F$177,-Data!F$179*2/3)/SUM(Data!F$174:F$176,-Data!F$177,Data!F$178,-Data!F$179),3)</f>
        <v>9.1609999999999996</v>
      </c>
      <c r="H162" s="69">
        <f>ROUND((H$164-H$161)*SUM(Data!G$174:G$176,-Data!G$177,-Data!G$179*2/3)/SUM(Data!G$174:G$176,-Data!G$177,Data!G$178,-Data!G$179),3)</f>
        <v>10.571999999999999</v>
      </c>
      <c r="I162" s="69">
        <f>ROUND((I$164-I$161)*SUM(Data!H$174:H$176,-Data!H$177,-Data!H$179*2/3)/SUM(Data!H$174:H$176,-Data!H$177,Data!H$178,-Data!H$179),3)</f>
        <v>12.996</v>
      </c>
      <c r="J162" s="103">
        <f>ROUND((J$164-J$161)*SUM(Data!I$174:I$176,-Data!I$177,-Data!I$179*2/3)/SUM(Data!I$174:I$176,-Data!I$177,Data!I$178,-Data!I$179),3)</f>
        <v>14.295</v>
      </c>
      <c r="K162" s="103">
        <f>ROUND((K$164-K$161)*SUM(Data!J$174:J$176,-Data!J$177,-Data!J$179*2/3)/SUM(Data!J$174:J$176,-Data!J$177,Data!J$178,-Data!J$179),3)</f>
        <v>15.058</v>
      </c>
      <c r="L162" s="103">
        <f>ROUND((L$164-L$161)*SUM(Data!K$174:K$176,-Data!K$177,-Data!K$179*2/3)/SUM(Data!K$174:K$176,-Data!K$177,Data!K$178,-Data!K$179),3)</f>
        <v>15.465999999999999</v>
      </c>
      <c r="M162" s="103">
        <f>ROUND((M$164-M$161)*SUM(Data!L$174:L$176,-Data!L$177,-Data!L$179*2/3)/SUM(Data!L$174:L$176,-Data!L$177,Data!L$178,-Data!L$179),3)</f>
        <v>15.581</v>
      </c>
      <c r="N162" s="103">
        <f>ROUND((N$164-N$161)*SUM(Data!M$174:M$176,-Data!M$177,-Data!M$179*2/3)/SUM(Data!M$174:M$176,-Data!M$177,Data!M$178,-Data!M$179),3)</f>
        <v>15.593</v>
      </c>
      <c r="O162" s="73">
        <f t="shared" ref="O162:X162" ca="1" si="78">N$162*(1+O$245)</f>
        <v>16.292701862911791</v>
      </c>
      <c r="P162" s="73">
        <f t="shared" ca="1" si="78"/>
        <v>17.025719540118178</v>
      </c>
      <c r="Q162" s="73">
        <f t="shared" ca="1" si="78"/>
        <v>17.811342529100326</v>
      </c>
      <c r="R162" s="73">
        <f t="shared" ca="1" si="78"/>
        <v>18.635402114114481</v>
      </c>
      <c r="S162" s="73">
        <f t="shared" ca="1" si="78"/>
        <v>19.492358298512553</v>
      </c>
      <c r="T162" s="73">
        <f t="shared" ca="1" si="78"/>
        <v>20.372424091052643</v>
      </c>
      <c r="U162" s="73">
        <f t="shared" ca="1" si="78"/>
        <v>21.277645630907454</v>
      </c>
      <c r="V162" s="73">
        <f t="shared" ca="1" si="78"/>
        <v>22.217779377892835</v>
      </c>
      <c r="W162" s="73">
        <f t="shared" ca="1" si="78"/>
        <v>23.187223204300139</v>
      </c>
      <c r="X162" s="73">
        <f t="shared" ca="1" si="78"/>
        <v>24.184008536111538</v>
      </c>
    </row>
    <row r="163" spans="1:24" x14ac:dyDescent="0.2">
      <c r="A163" s="152" t="s">
        <v>615</v>
      </c>
      <c r="B163" s="228"/>
      <c r="C163" s="69"/>
      <c r="D163" s="173">
        <f>ROUND((D$164-D$161)*SUM(Data!C$178,-Data!C$179*1/3)/SUM(Data!C$174:C$176,-Data!C$177,Data!C$178,-Data!C$179),3)</f>
        <v>2.9860000000000002</v>
      </c>
      <c r="E163" s="173">
        <f>ROUND((E$164-E$161)*SUM(Data!D$178,-Data!D$179*1/3)/SUM(Data!D$174:D$176,-Data!D$177,Data!D$178,-Data!D$179),3)</f>
        <v>4.8140000000000001</v>
      </c>
      <c r="F163" s="173">
        <f>ROUND((F$164-F$161)*SUM(Data!E$178,-Data!E$179*1/3)/SUM(Data!E$174:E$176,-Data!E$177,Data!E$178,-Data!E$179),3)</f>
        <v>5.85</v>
      </c>
      <c r="G163" s="173">
        <f>ROUND((G$164-G$161)*SUM(Data!F$178,-Data!F$179*1/3)/SUM(Data!F$174:F$176,-Data!F$177,Data!F$178,-Data!F$179),3)</f>
        <v>5.56</v>
      </c>
      <c r="H163" s="173">
        <f>ROUND((H$164-H$161)*SUM(Data!G$178,-Data!G$179*1/3)/SUM(Data!G$174:G$176,-Data!G$177,Data!G$178,-Data!G$179),3)</f>
        <v>6.1669999999999998</v>
      </c>
      <c r="I163" s="173">
        <f>ROUND((I$164-I$161)*SUM(Data!H$178,-Data!H$179*1/3)/SUM(Data!H$174:H$176,-Data!H$177,Data!H$178,-Data!H$179),3)</f>
        <v>6.1029999999999998</v>
      </c>
      <c r="J163" s="127">
        <f>ROUND((J$164-J$161)*SUM(Data!I$178,-Data!I$179*1/3)/SUM(Data!I$174:I$176,-Data!I$177,Data!I$178,-Data!I$179),3)</f>
        <v>6.9720000000000004</v>
      </c>
      <c r="K163" s="127">
        <f>ROUND((K$164-K$161)*SUM(Data!J$178,-Data!J$179*1/3)/SUM(Data!J$174:J$176,-Data!J$177,Data!J$178,-Data!J$179),3)</f>
        <v>8.41</v>
      </c>
      <c r="L163" s="127">
        <f>ROUND((L$164-L$161)*SUM(Data!K$178,-Data!K$179*1/3)/SUM(Data!K$174:K$176,-Data!K$177,Data!K$178,-Data!K$179),3)</f>
        <v>9.9260000000000002</v>
      </c>
      <c r="M163" s="127">
        <f>ROUND((M$164-M$161)*SUM(Data!L$178,-Data!L$179*1/3)/SUM(Data!L$174:L$176,-Data!L$177,Data!L$178,-Data!L$179),3)</f>
        <v>10.746</v>
      </c>
      <c r="N163" s="127">
        <f>ROUND((N$164-N$161)*SUM(Data!M$178,-Data!M$179*1/3)/SUM(Data!M$174:M$176,-Data!M$177,Data!M$178,-Data!M$179),3)</f>
        <v>11.486000000000001</v>
      </c>
      <c r="O163" s="81">
        <f t="shared" ref="O163:X163" ca="1" si="79">N$163*(1+O$245)</f>
        <v>12.001409196267867</v>
      </c>
      <c r="P163" s="81">
        <f t="shared" ca="1" si="79"/>
        <v>12.541359240543667</v>
      </c>
      <c r="Q163" s="81">
        <f t="shared" ca="1" si="79"/>
        <v>13.120059019383463</v>
      </c>
      <c r="R163" s="81">
        <f t="shared" ca="1" si="79"/>
        <v>13.727071678491562</v>
      </c>
      <c r="S163" s="81">
        <f t="shared" ca="1" si="79"/>
        <v>14.358316386629589</v>
      </c>
      <c r="T163" s="81">
        <f t="shared" ca="1" si="79"/>
        <v>15.006583922903268</v>
      </c>
      <c r="U163" s="81">
        <f t="shared" ca="1" si="79"/>
        <v>15.673381499172898</v>
      </c>
      <c r="V163" s="81">
        <f t="shared" ca="1" si="79"/>
        <v>16.365895846500166</v>
      </c>
      <c r="W163" s="81">
        <f t="shared" ca="1" si="79"/>
        <v>17.080000367125724</v>
      </c>
      <c r="X163" s="81">
        <f t="shared" ca="1" si="79"/>
        <v>17.814244984658316</v>
      </c>
    </row>
    <row r="164" spans="1:24" x14ac:dyDescent="0.2">
      <c r="A164" s="27" t="s">
        <v>315</v>
      </c>
      <c r="B164" s="228"/>
      <c r="C164" s="69"/>
      <c r="D164" s="71">
        <f>SUM(Data!C$60:C$61)</f>
        <v>45.706000000000003</v>
      </c>
      <c r="E164" s="71">
        <f>SUM(Data!D$60:D$61)</f>
        <v>54.152999999999999</v>
      </c>
      <c r="F164" s="71">
        <f>SUM(Data!E$60:E$61)</f>
        <v>56.867999999999995</v>
      </c>
      <c r="G164" s="71">
        <f>SUM(Data!F$60:F$61)</f>
        <v>55.866</v>
      </c>
      <c r="H164" s="71">
        <f>SUM(Data!G$60:G$61)</f>
        <v>63.303999999999995</v>
      </c>
      <c r="I164" s="71">
        <f>SUM(Data!H$60:H$61)</f>
        <v>62.769999999999996</v>
      </c>
      <c r="J164" s="128">
        <f>SUM(Data!I$60:I$61) + IF($I$1="Yes",SUM(J$322,J$323,J$324),0) + IF($L$1="Yes",J$357,0)</f>
        <v>57.008000000000003</v>
      </c>
      <c r="K164" s="128">
        <f>SUM(Data!J$60:J$61) + IF($I$1="Yes",SUM(K$322,K$323,K$324),0) + IF($L$1="Yes",K$357,0)</f>
        <v>62.888999999999996</v>
      </c>
      <c r="L164" s="128">
        <f>SUM(Data!K$60:K$61) + IF($I$1="Yes",SUM(L$322,L$323,L$324),0) + IF($L$1="Yes",L$357,0)</f>
        <v>58.372</v>
      </c>
      <c r="M164" s="128">
        <f>SUM(Data!L$60:L$61) + IF($I$1="Yes",SUM(M$322,M$323,M$324),0) + IF($L$1="Yes",M$357,0)</f>
        <v>63.939</v>
      </c>
      <c r="N164" s="128">
        <f>SUM(Data!M$60:M$61) + IF($I$1="Yes",SUM(N$322,N$323,N$324),0) + IF($L$1="Yes",N$357,0)</f>
        <v>72.343999999999994</v>
      </c>
      <c r="O164" s="42">
        <f t="shared" ref="O164:X164" ca="1" si="80">SUM(O$161:O$163)</f>
        <v>75.251376295175518</v>
      </c>
      <c r="P164" s="42">
        <f t="shared" ca="1" si="80"/>
        <v>78.303962423408151</v>
      </c>
      <c r="Q164" s="42">
        <f t="shared" ca="1" si="80"/>
        <v>81.550607076344861</v>
      </c>
      <c r="R164" s="42">
        <f t="shared" ca="1" si="80"/>
        <v>86.962292990126201</v>
      </c>
      <c r="S164" s="42">
        <f t="shared" ca="1" si="80"/>
        <v>92.564520697219905</v>
      </c>
      <c r="T164" s="42">
        <f t="shared" ca="1" si="80"/>
        <v>98.331171506016176</v>
      </c>
      <c r="U164" s="42">
        <f t="shared" ca="1" si="80"/>
        <v>104.23052786898509</v>
      </c>
      <c r="V164" s="42">
        <f t="shared" ca="1" si="80"/>
        <v>110.26961875320248</v>
      </c>
      <c r="W164" s="42">
        <f t="shared" ca="1" si="80"/>
        <v>116.40068952104389</v>
      </c>
      <c r="X164" s="42">
        <f t="shared" ca="1" si="80"/>
        <v>122.59559217594195</v>
      </c>
    </row>
    <row r="165" spans="1:24" x14ac:dyDescent="0.2">
      <c r="A165" s="27" t="s">
        <v>1049</v>
      </c>
      <c r="B165" s="69"/>
      <c r="C165" s="69"/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128">
        <v>0</v>
      </c>
      <c r="K165" s="128">
        <v>0</v>
      </c>
      <c r="L165" s="128">
        <v>0</v>
      </c>
      <c r="M165" s="128">
        <v>0</v>
      </c>
      <c r="N165" s="128">
        <v>0</v>
      </c>
      <c r="O165" s="75">
        <f ca="1">O$234-O$237</f>
        <v>0</v>
      </c>
      <c r="P165" s="75">
        <f t="shared" ref="P165:X165" ca="1" si="81">P$234-P$237</f>
        <v>0</v>
      </c>
      <c r="Q165" s="75">
        <f t="shared" ca="1" si="81"/>
        <v>0</v>
      </c>
      <c r="R165" s="75">
        <f t="shared" ca="1" si="81"/>
        <v>0</v>
      </c>
      <c r="S165" s="75">
        <f t="shared" ca="1" si="81"/>
        <v>0</v>
      </c>
      <c r="T165" s="75">
        <f t="shared" ca="1" si="81"/>
        <v>0</v>
      </c>
      <c r="U165" s="75">
        <f t="shared" ca="1" si="81"/>
        <v>0</v>
      </c>
      <c r="V165" s="75">
        <f t="shared" ca="1" si="81"/>
        <v>0</v>
      </c>
      <c r="W165" s="75">
        <f t="shared" ca="1" si="81"/>
        <v>0</v>
      </c>
      <c r="X165" s="75">
        <f t="shared" ca="1" si="81"/>
        <v>0</v>
      </c>
    </row>
    <row r="166" spans="1:24" x14ac:dyDescent="0.2">
      <c r="A166" s="27" t="s">
        <v>1058</v>
      </c>
      <c r="B166" s="69"/>
      <c r="C166" s="69"/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  <c r="O166" s="75">
        <f ca="1">O$165*IF(O$234&lt;=0,OFFSET(Scenarios!$A$49,0,$C$1),O$232/O$234)</f>
        <v>0</v>
      </c>
      <c r="P166" s="75">
        <f ca="1">P$165*IF(P$234&lt;=0,OFFSET(Scenarios!$A$49,0,$C$1),P$232/P$234)</f>
        <v>0</v>
      </c>
      <c r="Q166" s="75">
        <f ca="1">Q$165*IF(Q$234&lt;=0,OFFSET(Scenarios!$A$49,0,$C$1),Q$232/Q$234)</f>
        <v>0</v>
      </c>
      <c r="R166" s="75">
        <f ca="1">R$165*IF(R$234&lt;=0,OFFSET(Scenarios!$A$49,0,$C$1),R$232/R$234)</f>
        <v>0</v>
      </c>
      <c r="S166" s="75">
        <f ca="1">S$165*IF(S$234&lt;=0,OFFSET(Scenarios!$A$49,0,$C$1),S$232/S$234)</f>
        <v>0</v>
      </c>
      <c r="T166" s="75">
        <f ca="1">T$165*IF(T$234&lt;=0,OFFSET(Scenarios!$A$49,0,$C$1),T$232/T$234)</f>
        <v>0</v>
      </c>
      <c r="U166" s="75">
        <f ca="1">U$165*IF(U$234&lt;=0,OFFSET(Scenarios!$A$49,0,$C$1),U$232/U$234)</f>
        <v>0</v>
      </c>
      <c r="V166" s="75">
        <f ca="1">V$165*IF(V$234&lt;=0,OFFSET(Scenarios!$A$49,0,$C$1),V$232/V$234)</f>
        <v>0</v>
      </c>
      <c r="W166" s="75">
        <f ca="1">W$165*IF(W$234&lt;=0,OFFSET(Scenarios!$A$49,0,$C$1),W$232/W$234)</f>
        <v>0</v>
      </c>
      <c r="X166" s="75">
        <f ca="1">X$165*IF(X$234&lt;=0,OFFSET(Scenarios!$A$49,0,$C$1),X$232/X$234)</f>
        <v>0</v>
      </c>
    </row>
    <row r="167" spans="1:24" x14ac:dyDescent="0.2">
      <c r="A167" s="27"/>
      <c r="B167" s="69"/>
      <c r="C167" s="69"/>
      <c r="D167" s="99"/>
      <c r="E167" s="99"/>
      <c r="F167" s="99"/>
      <c r="G167" s="99"/>
      <c r="H167" s="99"/>
      <c r="I167" s="99"/>
      <c r="J167" s="128"/>
      <c r="K167" s="128"/>
      <c r="L167" s="128"/>
      <c r="M167" s="128"/>
      <c r="N167" s="128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x14ac:dyDescent="0.2">
      <c r="A168" s="106" t="s">
        <v>628</v>
      </c>
      <c r="B168" s="42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1:24" x14ac:dyDescent="0.2">
      <c r="A169" s="30" t="s">
        <v>133</v>
      </c>
      <c r="B169" s="36"/>
      <c r="C169" s="69"/>
      <c r="D169" s="69">
        <f>Data!C$197</f>
        <v>9.8550000000000004</v>
      </c>
      <c r="E169" s="69">
        <f t="shared" ref="E169:X169" si="82">D$176</f>
        <v>12.973000000000001</v>
      </c>
      <c r="F169" s="69">
        <f t="shared" si="82"/>
        <v>14.212000000000002</v>
      </c>
      <c r="G169" s="69">
        <f t="shared" si="82"/>
        <v>13.688000000000001</v>
      </c>
      <c r="H169" s="69">
        <f t="shared" si="82"/>
        <v>15.656000000000004</v>
      </c>
      <c r="I169" s="69">
        <f t="shared" si="82"/>
        <v>18.652000000000005</v>
      </c>
      <c r="J169" s="103">
        <f t="shared" si="82"/>
        <v>18.703000000000003</v>
      </c>
      <c r="K169" s="103">
        <f t="shared" si="82"/>
        <v>21.752000000000002</v>
      </c>
      <c r="L169" s="103">
        <f t="shared" si="82"/>
        <v>23.283000000000001</v>
      </c>
      <c r="M169" s="103">
        <f t="shared" si="82"/>
        <v>24.918000000000003</v>
      </c>
      <c r="N169" s="103">
        <f t="shared" si="82"/>
        <v>26.679000000000002</v>
      </c>
      <c r="O169" s="73">
        <f t="shared" si="82"/>
        <v>28.577000000000002</v>
      </c>
      <c r="P169" s="73">
        <f t="shared" si="82"/>
        <v>30.226203830818449</v>
      </c>
      <c r="Q169" s="73">
        <f t="shared" si="82"/>
        <v>31.99406220157055</v>
      </c>
      <c r="R169" s="73">
        <f t="shared" si="82"/>
        <v>33.890169059946132</v>
      </c>
      <c r="S169" s="73">
        <f t="shared" si="82"/>
        <v>38.676424253140304</v>
      </c>
      <c r="T169" s="73">
        <f t="shared" si="82"/>
        <v>43.632872607207361</v>
      </c>
      <c r="U169" s="73">
        <f t="shared" si="82"/>
        <v>48.746597921199651</v>
      </c>
      <c r="V169" s="73">
        <f t="shared" si="82"/>
        <v>53.968485075827402</v>
      </c>
      <c r="W169" s="73">
        <f t="shared" si="82"/>
        <v>59.284510291961503</v>
      </c>
      <c r="X169" s="73">
        <f t="shared" si="82"/>
        <v>64.64173319444852</v>
      </c>
    </row>
    <row r="170" spans="1:24" x14ac:dyDescent="0.2">
      <c r="A170" s="152" t="s">
        <v>312</v>
      </c>
      <c r="B170" s="228"/>
      <c r="C170" s="69"/>
      <c r="D170" s="69">
        <f>Data!C$198</f>
        <v>2.0490000000000004</v>
      </c>
      <c r="E170" s="69">
        <f>Data!D$198</f>
        <v>2.1040000000000001</v>
      </c>
      <c r="F170" s="69">
        <f>Data!E$198</f>
        <v>2.2429999999999999</v>
      </c>
      <c r="G170" s="69">
        <f>Data!F$198</f>
        <v>0.25</v>
      </c>
      <c r="H170" s="69">
        <f>Data!G$198</f>
        <v>0</v>
      </c>
      <c r="I170" s="69">
        <f>Data!H$198</f>
        <v>0</v>
      </c>
      <c r="J170" s="103">
        <f>Data!I$198 + IF($L$1="Yes",J$355,0)</f>
        <v>0</v>
      </c>
      <c r="K170" s="103">
        <f>Data!J$198 + IF($L$1="Yes",K$355,0)</f>
        <v>0</v>
      </c>
      <c r="L170" s="103">
        <f>Data!K$198 + IF($L$1="Yes",L$355,0)</f>
        <v>0</v>
      </c>
      <c r="M170" s="103">
        <f>Data!L$198 + IF($L$1="Yes",M$355,0)</f>
        <v>0</v>
      </c>
      <c r="N170" s="103">
        <f>Data!M$198 + IF($L$1="Yes",N$355,0)</f>
        <v>0</v>
      </c>
      <c r="O170" s="73">
        <f>IF($L$1="Yes",IF('Forecast Adjuster'!R$82=0,'Forecast Adjuster'!S$82,N$170*'Forecast Adjuster'!S$82/'Forecast Adjuster'!R$82),IF(Tracks!R$5=0,Tracks!S$5,N$170*Tracks!S$5/Tracks!R$5))</f>
        <v>0</v>
      </c>
      <c r="P170" s="73">
        <f>IF($L$1="Yes",IF('Forecast Adjuster'!S$82=0,'Forecast Adjuster'!T$82,O$170*'Forecast Adjuster'!T$82/'Forecast Adjuster'!S$82),IF(Tracks!S$5=0,Tracks!T$5,O$170*Tracks!T$5/Tracks!S$5))</f>
        <v>0</v>
      </c>
      <c r="Q170" s="73">
        <f>IF($L$1="Yes",IF('Forecast Adjuster'!T$82=0,'Forecast Adjuster'!U$82,P$170*'Forecast Adjuster'!U$82/'Forecast Adjuster'!T$82),IF(Tracks!T$5=0,Tracks!U$5,P$170*Tracks!U$5/Tracks!T$5))</f>
        <v>0</v>
      </c>
      <c r="R170" s="73">
        <f>IF($L$1="Yes",IF('Forecast Adjuster'!U$82=0,'Forecast Adjuster'!V$82,Q$170*'Forecast Adjuster'!V$82/'Forecast Adjuster'!U$82),IF(Tracks!U$5=0,Tracks!V$5,Q$170*Tracks!V$5/Tracks!U$5))</f>
        <v>2.6749999999999998</v>
      </c>
      <c r="S170" s="73">
        <f>IF($L$1="Yes",IF('Forecast Adjuster'!V$82=0,'Forecast Adjuster'!W$82,R$170*'Forecast Adjuster'!W$82/'Forecast Adjuster'!V$82),IF(Tracks!V$5=0,Tracks!W$5,R$170*Tracks!W$5/Tracks!V$5))</f>
        <v>2.54</v>
      </c>
      <c r="T170" s="73">
        <f>IF($L$1="Yes",IF('Forecast Adjuster'!W$82=0,'Forecast Adjuster'!X$82,S$170*'Forecast Adjuster'!X$82/'Forecast Adjuster'!W$82),IF(Tracks!W$5=0,Tracks!X$5,S$170*Tracks!X$5/Tracks!W$5))</f>
        <v>2.4009999999999998</v>
      </c>
      <c r="U170" s="73">
        <f>IF($L$1="Yes",IF('Forecast Adjuster'!X$82=0,'Forecast Adjuster'!Y$82,T$170*'Forecast Adjuster'!Y$82/'Forecast Adjuster'!X$82),IF(Tracks!X$5=0,Tracks!Y$5,T$170*Tracks!Y$5/Tracks!X$5))</f>
        <v>2.2050000000000001</v>
      </c>
      <c r="V170" s="73">
        <f>IF($L$1="Yes",IF('Forecast Adjuster'!Y$82=0,'Forecast Adjuster'!Z$82,U$170*'Forecast Adjuster'!Z$82/'Forecast Adjuster'!Y$82),IF(Tracks!Y$5=0,Tracks!Z$5,U$170*Tracks!Z$5/Tracks!Y$5))</f>
        <v>1.9889999999999999</v>
      </c>
      <c r="W170" s="73">
        <f>IF($L$1="Yes",IF('Forecast Adjuster'!Z$82=0,'Forecast Adjuster'!AA$82,V$170*'Forecast Adjuster'!AA$82/'Forecast Adjuster'!Z$82),IF(Tracks!Z$5=0,Tracks!AA$5,V$170*Tracks!AA$5/Tracks!Z$5))</f>
        <v>1.7159999999999997</v>
      </c>
      <c r="X170" s="73">
        <f>IF($L$1="Yes",IF('Forecast Adjuster'!AA$82=0,'Forecast Adjuster'!AB$82,W$170*'Forecast Adjuster'!AB$82/'Forecast Adjuster'!AA$82),IF(Tracks!AA$5=0,Tracks!AB$5,W$170*Tracks!AB$5/Tracks!AA$5))</f>
        <v>1.4069999999999998</v>
      </c>
    </row>
    <row r="171" spans="1:24" x14ac:dyDescent="0.2">
      <c r="A171" s="152" t="s">
        <v>623</v>
      </c>
      <c r="B171" s="228"/>
      <c r="C171" s="69"/>
      <c r="D171" s="69">
        <f>Data!C$193</f>
        <v>0.436</v>
      </c>
      <c r="E171" s="69">
        <f>Data!D$193</f>
        <v>0.38500000000000001</v>
      </c>
      <c r="F171" s="69">
        <f>Data!E$193</f>
        <v>0.38300000000000001</v>
      </c>
      <c r="G171" s="69">
        <f>Data!F$193</f>
        <v>0.433</v>
      </c>
      <c r="H171" s="69">
        <f>Data!G$193</f>
        <v>0.51800000000000002</v>
      </c>
      <c r="I171" s="69">
        <f>Data!H$193</f>
        <v>0.53900000000000003</v>
      </c>
      <c r="J171" s="103">
        <f>Data!I$193 + IF($L$1="Yes",J$348,0)</f>
        <v>0.64700000000000002</v>
      </c>
      <c r="K171" s="103">
        <f>Data!J$193 + IF($L$1="Yes",K$348,0)</f>
        <v>0.77700000000000002</v>
      </c>
      <c r="L171" s="103">
        <f>Data!K$193 + IF($L$1="Yes",L$348,0)</f>
        <v>0.80500000000000005</v>
      </c>
      <c r="M171" s="103">
        <f>Data!L$193 + IF($L$1="Yes",M$348,0)</f>
        <v>0.86</v>
      </c>
      <c r="N171" s="103">
        <f>Data!M$193 + IF($L$1="Yes",N$348,0)</f>
        <v>0.91800000000000004</v>
      </c>
      <c r="O171" s="73">
        <f>IF($L$1="Yes",IF('Forecast Adjuster'!R$83=0,(N$171/SUM(N$171,N$172,-N$173,N$175))*'Forecast Adjuster'!S$83,N$171*'Forecast Adjuster'!S$83/'Forecast Adjuster'!R$83),N$171*Tracks!S$6/Tracks!R$6)</f>
        <v>0.79525208886168919</v>
      </c>
      <c r="P171" s="73">
        <f>IF($L$1="Yes",IF('Forecast Adjuster'!S$83=0,(O$171/SUM(O$171,O$172,-O$173,O$175))*'Forecast Adjuster'!T$83,O$171*'Forecast Adjuster'!T$83/'Forecast Adjuster'!S$83),O$171*Tracks!T$6/Tracks!S$6)</f>
        <v>0.85246773981511936</v>
      </c>
      <c r="Q171" s="73">
        <f>IF($L$1="Yes",IF('Forecast Adjuster'!T$83=0,(P$171/SUM(P$171,P$172,-P$173,P$175))*'Forecast Adjuster'!U$83,P$171*'Forecast Adjuster'!U$83/'Forecast Adjuster'!T$83),P$171*Tracks!U$6/Tracks!T$6)</f>
        <v>0.91430962725805276</v>
      </c>
      <c r="R171" s="73">
        <f>IF($L$1="Yes",IF('Forecast Adjuster'!U$83=0,(Q$171/SUM(Q$171,Q$172,-Q$173,Q$175))*'Forecast Adjuster'!V$83,Q$171*'Forecast Adjuster'!V$83/'Forecast Adjuster'!U$83),Q$171*Tracks!V$6/Tracks!U$6)</f>
        <v>1.0180549372569283</v>
      </c>
      <c r="S171" s="73">
        <f>IF($L$1="Yes",IF('Forecast Adjuster'!V$83=0,(R$171/SUM(R$171,R$172,-R$173,R$175))*'Forecast Adjuster'!W$83,R$171*'Forecast Adjuster'!W$83/'Forecast Adjuster'!V$83),R$171*Tracks!W$6/Tracks!V$6)</f>
        <v>1.1652201900625911</v>
      </c>
      <c r="T171" s="73">
        <f>IF($L$1="Yes",IF('Forecast Adjuster'!W$83=0,(S$171/SUM(S$171,S$172,-S$173,S$175))*'Forecast Adjuster'!X$83,S$171*'Forecast Adjuster'!X$83/'Forecast Adjuster'!W$83),S$171*Tracks!X$6/Tracks!W$6)</f>
        <v>1.3080860183242249</v>
      </c>
      <c r="U171" s="73">
        <f>IF($L$1="Yes",IF('Forecast Adjuster'!X$83=0,(T$171/SUM(T$171,T$172,-T$173,T$175))*'Forecast Adjuster'!Y$83,T$171*'Forecast Adjuster'!Y$83/'Forecast Adjuster'!X$83),T$171*Tracks!Y$6/Tracks!X$6)</f>
        <v>1.454753964758311</v>
      </c>
      <c r="V171" s="73">
        <f>IF($L$1="Yes",IF('Forecast Adjuster'!Y$83=0,(U$171/SUM(U$171,U$172,-U$173,U$175))*'Forecast Adjuster'!Z$83,U$171*'Forecast Adjuster'!Z$83/'Forecast Adjuster'!Y$83),U$171*Tracks!Z$6/Tracks!Y$6)</f>
        <v>1.6043036666444859</v>
      </c>
      <c r="W171" s="73">
        <f>IF($L$1="Yes",IF('Forecast Adjuster'!Z$83=0,(V$171/SUM(V$171,V$172,-V$173,V$175))*'Forecast Adjuster'!AA$83,V$171*'Forecast Adjuster'!AA$83/'Forecast Adjuster'!Z$83),V$171*Tracks!AA$6/Tracks!Z$6)</f>
        <v>1.7558109344051176</v>
      </c>
      <c r="X171" s="73">
        <f>IF($L$1="Yes",IF('Forecast Adjuster'!AA$83=0,(W$171/SUM(W$171,W$172,-W$173,W$175))*'Forecast Adjuster'!AB$83,W$171*'Forecast Adjuster'!AB$83/'Forecast Adjuster'!AA$83),W$171*Tracks!AB$6/Tracks!AA$6)</f>
        <v>1.9080211687307396</v>
      </c>
    </row>
    <row r="172" spans="1:24" x14ac:dyDescent="0.2">
      <c r="A172" s="152" t="s">
        <v>627</v>
      </c>
      <c r="B172" s="228"/>
      <c r="C172" s="69"/>
      <c r="D172" s="69">
        <f>Data!C$196</f>
        <v>1.3129999999999999</v>
      </c>
      <c r="E172" s="69">
        <f>Data!D$196</f>
        <v>-0.995</v>
      </c>
      <c r="F172" s="69">
        <f>Data!E$196</f>
        <v>-3.4950000000000001</v>
      </c>
      <c r="G172" s="69">
        <f>Data!F$196</f>
        <v>1.75</v>
      </c>
      <c r="H172" s="69">
        <f>Data!G$196</f>
        <v>3.5179999999999998</v>
      </c>
      <c r="I172" s="69">
        <f>Data!H$196</f>
        <v>-0.20399999999999999</v>
      </c>
      <c r="J172" s="103">
        <f>Data!I$196 + IF($L$1="Yes",J$349,0)</f>
        <v>3.431</v>
      </c>
      <c r="K172" s="103">
        <f>Data!J$196 + IF($L$1="Yes",K$349,0)</f>
        <v>1.3580000000000001</v>
      </c>
      <c r="L172" s="103">
        <f>Data!K$196 + IF($L$1="Yes",L$349,0)</f>
        <v>1.466</v>
      </c>
      <c r="M172" s="103">
        <f>Data!L$196 + IF($L$1="Yes",M$349,0)</f>
        <v>1.585</v>
      </c>
      <c r="N172" s="103">
        <f>Data!M$196 + IF($L$1="Yes",N$349,0)</f>
        <v>1.718</v>
      </c>
      <c r="O172" s="73">
        <f>IF($L$1="Yes",IF('Forecast Adjuster'!R$83=0,(N$172/SUM(N$171,N$172,-N$173,N$175))*'Forecast Adjuster'!S$83,N$172*'Forecast Adjuster'!S$83/'Forecast Adjuster'!R$83),N$172*Tracks!S$6/Tracks!R$6)</f>
        <v>1.4882822316605469</v>
      </c>
      <c r="P172" s="73">
        <f>IF($L$1="Yes",IF('Forecast Adjuster'!S$83=0,(O$172/SUM(O$171,O$172,-O$173,O$175))*'Forecast Adjuster'!T$83,O$172*'Forecast Adjuster'!T$83/'Forecast Adjuster'!S$83),O$172*Tracks!T$6/Tracks!S$6)</f>
        <v>1.5953590163424565</v>
      </c>
      <c r="Q172" s="73">
        <f>IF($L$1="Yes",IF('Forecast Adjuster'!T$83=0,(P$172/SUM(P$171,P$172,-P$173,P$175))*'Forecast Adjuster'!U$83,P$172*'Forecast Adjuster'!U$83/'Forecast Adjuster'!T$83),P$172*Tracks!U$6/Tracks!T$6)</f>
        <v>1.7110936161539592</v>
      </c>
      <c r="R172" s="73">
        <f>IF($L$1="Yes",IF('Forecast Adjuster'!U$83=0,(Q$172/SUM(Q$171,Q$172,-Q$173,Q$175))*'Forecast Adjuster'!V$83,Q$172*'Forecast Adjuster'!V$83/'Forecast Adjuster'!U$83),Q$172*Tracks!V$6/Tracks!U$6)</f>
        <v>1.9052487823610051</v>
      </c>
      <c r="S172" s="73">
        <f>IF($L$1="Yes",IF('Forecast Adjuster'!V$83=0,(R$172/SUM(R$171,R$172,-R$173,R$175))*'Forecast Adjuster'!W$83,R$172*'Forecast Adjuster'!W$83/'Forecast Adjuster'!V$83),R$172*Tracks!W$6/Tracks!V$6)</f>
        <v>2.1806626214896858</v>
      </c>
      <c r="T172" s="73">
        <f>IF($L$1="Yes",IF('Forecast Adjuster'!W$83=0,(S$172/SUM(S$171,S$172,-S$173,S$175))*'Forecast Adjuster'!X$83,S$172*'Forecast Adjuster'!X$83/'Forecast Adjuster'!W$83),S$172*Tracks!X$6/Tracks!W$6)</f>
        <v>2.4480302608725686</v>
      </c>
      <c r="U172" s="73">
        <f>IF($L$1="Yes",IF('Forecast Adjuster'!X$83=0,(T$172/SUM(T$171,T$172,-T$173,T$175))*'Forecast Adjuster'!Y$83,T$172*'Forecast Adjuster'!Y$83/'Forecast Adjuster'!X$83),T$172*Tracks!Y$6/Tracks!X$6)</f>
        <v>2.722513411170782</v>
      </c>
      <c r="V172" s="73">
        <f>IF($L$1="Yes",IF('Forecast Adjuster'!Y$83=0,(U$172/SUM(U$171,U$172,-U$173,U$175))*'Forecast Adjuster'!Z$83,U$172*'Forecast Adjuster'!Z$83/'Forecast Adjuster'!Y$83),U$172*Tracks!Z$6/Tracks!Y$6)</f>
        <v>3.0023896506483951</v>
      </c>
      <c r="W172" s="73">
        <f>IF($L$1="Yes",IF('Forecast Adjuster'!Z$83=0,(V$172/SUM(V$171,V$172,-V$173,V$175))*'Forecast Adjuster'!AA$83,V$172*'Forecast Adjuster'!AA$83/'Forecast Adjuster'!Z$83),V$172*Tracks!AA$6/Tracks!Z$6)</f>
        <v>3.2859293957603399</v>
      </c>
      <c r="X172" s="73">
        <f>IF($L$1="Yes",IF('Forecast Adjuster'!AA$83=0,(W$172/SUM(W$171,W$172,-W$173,W$175))*'Forecast Adjuster'!AB$83,W$172*'Forecast Adjuster'!AB$83/'Forecast Adjuster'!AA$83),W$172*Tracks!AB$6/Tracks!AA$6)</f>
        <v>3.5707847144655886</v>
      </c>
    </row>
    <row r="173" spans="1:24" x14ac:dyDescent="0.2">
      <c r="A173" s="158" t="s">
        <v>625</v>
      </c>
      <c r="B173" s="228"/>
      <c r="C173" s="69"/>
      <c r="D173" s="69">
        <f>Data!C$194</f>
        <v>-5.1999999999999998E-2</v>
      </c>
      <c r="E173" s="69">
        <f>Data!D$194</f>
        <v>3.4000000000000002E-2</v>
      </c>
      <c r="F173" s="69">
        <f>Data!E$194</f>
        <v>-0.32300000000000001</v>
      </c>
      <c r="G173" s="69">
        <f>Data!F$194</f>
        <v>0.502</v>
      </c>
      <c r="H173" s="69">
        <f>Data!G$194</f>
        <v>0.16900000000000001</v>
      </c>
      <c r="I173" s="69">
        <f>Data!H$194</f>
        <v>0.13200000000000001</v>
      </c>
      <c r="J173" s="103">
        <f>Data!I$194 + IF($L$1="Yes",J$350,0)</f>
        <v>0.14599999999999999</v>
      </c>
      <c r="K173" s="103">
        <f>Data!J$194 + IF($L$1="Yes",K$350,0)</f>
        <v>0.14799999999999999</v>
      </c>
      <c r="L173" s="103">
        <f>Data!K$194 + IF($L$1="Yes",L$350,0)</f>
        <v>0.16</v>
      </c>
      <c r="M173" s="103">
        <f>Data!L$194 + IF($L$1="Yes",M$350,0)</f>
        <v>0.17100000000000001</v>
      </c>
      <c r="N173" s="103">
        <f>Data!M$194 + IF($L$1="Yes",N$350,0)</f>
        <v>0.185</v>
      </c>
      <c r="O173" s="73">
        <f>IF($L$1="Yes",IF('Forecast Adjuster'!R$83=0,-(-N$173/SUM(N$171,N$172,-N$173,N$175))*'Forecast Adjuster'!S$83,N$173*'Forecast Adjuster'!S$83/'Forecast Adjuster'!R$83),N$173*Tracks!S$6/Tracks!R$6)</f>
        <v>0.16026322052223582</v>
      </c>
      <c r="P173" s="73">
        <f>IF($L$1="Yes",IF('Forecast Adjuster'!S$83=0,-(-O$173/SUM(O$171,O$172,-O$173,O$175))*'Forecast Adjuster'!T$83,O$173*'Forecast Adjuster'!T$83/'Forecast Adjuster'!S$83),O$173*Tracks!T$6/Tracks!S$6)</f>
        <v>0.17179360769694668</v>
      </c>
      <c r="Q173" s="73">
        <f>IF($L$1="Yes",IF('Forecast Adjuster'!T$83=0,-(-P$173/SUM(P$171,P$172,-P$173,P$175))*'Forecast Adjuster'!U$83,P$173*'Forecast Adjuster'!U$83/'Forecast Adjuster'!T$83),P$173*Tracks!U$6/Tracks!T$6)</f>
        <v>0.18425629743217833</v>
      </c>
      <c r="R173" s="73">
        <f>IF($L$1="Yes",IF('Forecast Adjuster'!U$83=0,-(-Q$173/SUM(Q$171,Q$172,-Q$173,Q$175))*'Forecast Adjuster'!V$83,Q$173*'Forecast Adjuster'!V$83/'Forecast Adjuster'!U$83),Q$173*Tracks!V$6/Tracks!U$6)</f>
        <v>0.20516357668031773</v>
      </c>
      <c r="S173" s="73">
        <f>IF($L$1="Yes",IF('Forecast Adjuster'!V$83=0,-(-R$173/SUM(R$171,R$172,-R$173,R$175))*'Forecast Adjuster'!W$83,R$173*'Forecast Adjuster'!W$83/'Forecast Adjuster'!V$83),R$173*Tracks!W$6/Tracks!V$6)</f>
        <v>0.23482106226751556</v>
      </c>
      <c r="T173" s="73">
        <f>IF($L$1="Yes",IF('Forecast Adjuster'!W$83=0,-(-S$173/SUM(S$171,S$172,-S$173,S$175))*'Forecast Adjuster'!X$83,S$173*'Forecast Adjuster'!X$83/'Forecast Adjuster'!W$83),S$173*Tracks!X$6/Tracks!W$6)</f>
        <v>0.26361210608930447</v>
      </c>
      <c r="U173" s="73">
        <f>IF($L$1="Yes",IF('Forecast Adjuster'!X$83=0,-(-T$173/SUM(T$171,T$172,-T$173,T$175))*'Forecast Adjuster'!Y$83,T$173*'Forecast Adjuster'!Y$83/'Forecast Adjuster'!X$83),T$173*Tracks!Y$6/Tracks!X$6)</f>
        <v>0.2931693719828839</v>
      </c>
      <c r="V173" s="73">
        <f>IF($L$1="Yes",IF('Forecast Adjuster'!Y$83=0,-(-U$173/SUM(U$171,U$172,-U$173,U$175))*'Forecast Adjuster'!Z$83,U$173*'Forecast Adjuster'!Z$83/'Forecast Adjuster'!Y$83),U$173*Tracks!Z$6/Tracks!Y$6)</f>
        <v>0.32330738380090385</v>
      </c>
      <c r="W173" s="73">
        <f>IF($L$1="Yes",IF('Forecast Adjuster'!Z$83=0,-(-V$173/SUM(V$171,V$172,-V$173,V$175))*'Forecast Adjuster'!AA$83,V$173*'Forecast Adjuster'!AA$83/'Forecast Adjuster'!Z$83),V$173*Tracks!AA$6/Tracks!Z$6)</f>
        <v>0.35383989418839501</v>
      </c>
      <c r="X173" s="73">
        <f>IF($L$1="Yes",IF('Forecast Adjuster'!AA$83=0,-(-W$173/SUM(W$171,W$172,-W$173,W$175))*'Forecast Adjuster'!AB$83,W$173*'Forecast Adjuster'!AB$83/'Forecast Adjuster'!AA$83),W$173*Tracks!AB$6/Tracks!AA$6)</f>
        <v>0.3845140699511837</v>
      </c>
    </row>
    <row r="174" spans="1:24" x14ac:dyDescent="0.2">
      <c r="A174" s="158" t="s">
        <v>624</v>
      </c>
      <c r="B174" s="228"/>
      <c r="C174" s="69"/>
      <c r="D174" s="69">
        <f>Data!C$195</f>
        <v>0.70699999999999996</v>
      </c>
      <c r="E174" s="69">
        <f>Data!D$195</f>
        <v>0.23699999999999999</v>
      </c>
      <c r="F174" s="69">
        <f>Data!E$195</f>
        <v>4.0000000000000001E-3</v>
      </c>
      <c r="G174" s="69">
        <f>Data!F$195</f>
        <v>-2.7E-2</v>
      </c>
      <c r="H174" s="69">
        <f>Data!G$195</f>
        <v>0.872</v>
      </c>
      <c r="I174" s="69">
        <f>Data!H$195</f>
        <v>0.16</v>
      </c>
      <c r="J174" s="103">
        <f>Data!I$195 + IF($L$1="Yes",J$347,0)</f>
        <v>0.89</v>
      </c>
      <c r="K174" s="103">
        <f>Data!J$195 + IF($L$1="Yes",K$347,0)</f>
        <v>0.47799999999999998</v>
      </c>
      <c r="L174" s="103">
        <f>Data!K$195 + IF($L$1="Yes",L$347,0)</f>
        <v>0.51100000000000001</v>
      </c>
      <c r="M174" s="103">
        <f>Data!L$195 + IF($L$1="Yes",M$347,0)</f>
        <v>0.55100000000000005</v>
      </c>
      <c r="N174" s="103">
        <f>Data!M$195 + IF($L$1="Yes",N$347,0)</f>
        <v>0.59399999999999997</v>
      </c>
      <c r="O174" s="73">
        <f>IF($L$1="Yes",IF('Forecast Adjuster'!R$84=0,'Forecast Adjuster'!S$84,N$174*'Forecast Adjuster'!S$84/'Forecast Adjuster'!R$84),N$174*Tracks!S$7/Tracks!R$7)</f>
        <v>0.50958506400000003</v>
      </c>
      <c r="P174" s="73">
        <f>IF($L$1="Yes",IF('Forecast Adjuster'!S$84=0,'Forecast Adjuster'!T$84,O$174*'Forecast Adjuster'!T$84/'Forecast Adjuster'!S$84),O$174*Tracks!T$7/Tracks!S$7)</f>
        <v>0.54624795563055095</v>
      </c>
      <c r="Q174" s="73">
        <f>IF($L$1="Yes",IF('Forecast Adjuster'!T$84=0,'Forecast Adjuster'!U$84,P$174*'Forecast Adjuster'!U$84/'Forecast Adjuster'!T$84),P$174*Tracks!U$7/Tracks!T$7)</f>
        <v>0.58587526703516002</v>
      </c>
      <c r="R174" s="73">
        <f>IF($L$1="Yes",IF('Forecast Adjuster'!U$84=0,'Forecast Adjuster'!V$84,Q$174*'Forecast Adjuster'!V$84/'Forecast Adjuster'!U$84),Q$174*Tracks!V$7/Tracks!U$7)</f>
        <v>0.65235363430502769</v>
      </c>
      <c r="S174" s="73">
        <f>IF($L$1="Yes",IF('Forecast Adjuster'!V$84=0,'Forecast Adjuster'!W$84,R$174*'Forecast Adjuster'!W$84/'Forecast Adjuster'!V$84),R$174*Tracks!W$7/Tracks!V$7)</f>
        <v>0.74665481982834259</v>
      </c>
      <c r="T174" s="73">
        <f>IF($L$1="Yes",IF('Forecast Adjuster'!W$84=0,'Forecast Adjuster'!X$84,S$174*'Forecast Adjuster'!X$84/'Forecast Adjuster'!W$84),S$174*Tracks!X$7/Tracks!W$7)</f>
        <v>0.83820100154579713</v>
      </c>
      <c r="U174" s="73">
        <f>IF($L$1="Yes",IF('Forecast Adjuster'!X$84=0,'Forecast Adjuster'!Y$84,T$174*'Forecast Adjuster'!Y$84/'Forecast Adjuster'!X$84),T$174*Tracks!Y$7/Tracks!X$7)</f>
        <v>0.93218352094709001</v>
      </c>
      <c r="V174" s="73">
        <f>IF($L$1="Yes",IF('Forecast Adjuster'!Y$84=0,'Forecast Adjuster'!Z$84,U$174*'Forecast Adjuster'!Z$84/'Forecast Adjuster'!Y$84),U$174*Tracks!Z$7/Tracks!Y$7)</f>
        <v>1.0280126240380743</v>
      </c>
      <c r="W174" s="73">
        <f>IF($L$1="Yes",IF('Forecast Adjuster'!Z$84=0,'Forecast Adjuster'!AA$84,V$174*'Forecast Adjuster'!AA$84/'Forecast Adjuster'!Z$84),V$174*Tracks!AA$7/Tracks!Z$7)</f>
        <v>1.1250961046344947</v>
      </c>
      <c r="X174" s="73">
        <f>IF($L$1="Yes",IF('Forecast Adjuster'!AA$84=0,'Forecast Adjuster'!AB$84,W$174*'Forecast Adjuster'!AB$84/'Forecast Adjuster'!AA$84),W$174*Tracks!AB$7/Tracks!AA$7)</f>
        <v>1.2226300351788344</v>
      </c>
    </row>
    <row r="175" spans="1:24" x14ac:dyDescent="0.2">
      <c r="A175" s="152" t="s">
        <v>626</v>
      </c>
      <c r="B175" s="228"/>
      <c r="C175" s="69"/>
      <c r="D175" s="173">
        <f>Data!C$199</f>
        <v>-2.5000000000000001E-2</v>
      </c>
      <c r="E175" s="173">
        <f>Data!D$199</f>
        <v>1.6E-2</v>
      </c>
      <c r="F175" s="173">
        <f>Data!E$199</f>
        <v>2.5999999999999999E-2</v>
      </c>
      <c r="G175" s="173">
        <f>Data!F$199</f>
        <v>0.01</v>
      </c>
      <c r="H175" s="173">
        <f>Data!G$199</f>
        <v>1E-3</v>
      </c>
      <c r="I175" s="173">
        <f>Data!H$199</f>
        <v>8.0000000000000002E-3</v>
      </c>
      <c r="J175" s="127">
        <f>Data!I$199 + IF($L$1="Yes",J$356,0)</f>
        <v>7.0000000000000001E-3</v>
      </c>
      <c r="K175" s="127">
        <f>Data!J$199 + IF($L$1="Yes",K$356,0)</f>
        <v>2.1999999999999999E-2</v>
      </c>
      <c r="L175" s="127">
        <f>Data!K$199 + IF($L$1="Yes",L$356,0)</f>
        <v>3.5000000000000003E-2</v>
      </c>
      <c r="M175" s="127">
        <f>Data!L$199 + IF($L$1="Yes",M$356,0)</f>
        <v>3.7999999999999999E-2</v>
      </c>
      <c r="N175" s="127">
        <f>Data!M$199 + IF($L$1="Yes",N$356,0)</f>
        <v>4.1000000000000002E-2</v>
      </c>
      <c r="O175" s="269">
        <f>IF($L$1="Yes",IF('Forecast Adjuster'!R$85=0,'Forecast Adjuster'!S$85,N$175*'Forecast Adjuster'!S$85/'Forecast Adjuster'!R$85),N$175*Tracks!S$8/Tracks!R$8)</f>
        <v>3.5517794818441459E-2</v>
      </c>
      <c r="P175" s="269">
        <f>IF($L$1="Yes",IF('Forecast Adjuster'!S$85=0,'Forecast Adjuster'!T$85,O$175*'Forecast Adjuster'!T$85/'Forecast Adjuster'!S$85),O$175*Tracks!T$8/Tracks!S$8)</f>
        <v>3.8073177922026032E-2</v>
      </c>
      <c r="Q175" s="269">
        <f>IF($L$1="Yes",IF('Forecast Adjuster'!T$85=0,'Forecast Adjuster'!U$85,P$175*'Forecast Adjuster'!U$85/'Forecast Adjuster'!T$85),P$175*Tracks!U$8/Tracks!T$8)</f>
        <v>4.0835179430915212E-2</v>
      </c>
      <c r="R175" s="269">
        <f>IF($L$1="Yes",IF('Forecast Adjuster'!U$85=0,'Forecast Adjuster'!V$85,Q$175*'Forecast Adjuster'!V$85/'Forecast Adjuster'!U$85),Q$175*Tracks!V$8/Tracks!U$8)</f>
        <v>4.5468684561583948E-2</v>
      </c>
      <c r="S175" s="269">
        <f>IF($L$1="Yes",IF('Forecast Adjuster'!V$85=0,'Forecast Adjuster'!W$85,R$175*'Forecast Adjuster'!W$85/'Forecast Adjuster'!V$85),R$175*Tracks!W$8/Tracks!V$8)</f>
        <v>5.2041424610638605E-2</v>
      </c>
      <c r="T175" s="269">
        <f>IF($L$1="Yes",IF('Forecast Adjuster'!W$85=0,'Forecast Adjuster'!X$85,S$175*'Forecast Adjuster'!X$85/'Forecast Adjuster'!W$85),S$175*Tracks!X$8/Tracks!W$8)</f>
        <v>5.8422142430602633E-2</v>
      </c>
      <c r="U175" s="269">
        <f>IF($L$1="Yes",IF('Forecast Adjuster'!X$85=0,'Forecast Adjuster'!Y$85,T$175*'Forecast Adjuster'!Y$85/'Forecast Adjuster'!X$85),T$175*Tracks!Y$8/Tracks!X$8)</f>
        <v>6.4972671628639164E-2</v>
      </c>
      <c r="V175" s="269">
        <f>IF($L$1="Yes",IF('Forecast Adjuster'!Y$85=0,'Forecast Adjuster'!Z$85,U$175*'Forecast Adjuster'!Z$85/'Forecast Adjuster'!Y$85),U$175*Tracks!Z$8/Tracks!Y$8)</f>
        <v>7.1651906680200356E-2</v>
      </c>
      <c r="W175" s="269">
        <f>IF($L$1="Yes",IF('Forecast Adjuster'!Z$85=0,'Forecast Adjuster'!AA$85,V$175*'Forecast Adjuster'!AA$85/'Forecast Adjuster'!Z$85),V$175*Tracks!AA$8/Tracks!Z$8)</f>
        <v>7.8418571144455149E-2</v>
      </c>
      <c r="X175" s="269">
        <f>IF($L$1="Yes",IF('Forecast Adjuster'!AA$85=0,'Forecast Adjuster'!AB$85,W$175*'Forecast Adjuster'!AB$85/'Forecast Adjuster'!AA$85),W$175*Tracks!AB$8/Tracks!AA$8)</f>
        <v>8.5216631718911029E-2</v>
      </c>
    </row>
    <row r="176" spans="1:24" x14ac:dyDescent="0.2">
      <c r="A176" s="27" t="s">
        <v>134</v>
      </c>
      <c r="B176" s="36"/>
      <c r="C176" s="69"/>
      <c r="D176" s="71">
        <f t="shared" ref="D176:I176" si="83">SUM(D$169:D$172,D$175)-SUM(D$173:D$174)</f>
        <v>12.973000000000001</v>
      </c>
      <c r="E176" s="71">
        <f t="shared" si="83"/>
        <v>14.212000000000002</v>
      </c>
      <c r="F176" s="71">
        <f t="shared" si="83"/>
        <v>13.688000000000001</v>
      </c>
      <c r="G176" s="71">
        <f t="shared" si="83"/>
        <v>15.656000000000004</v>
      </c>
      <c r="H176" s="71">
        <f t="shared" si="83"/>
        <v>18.652000000000005</v>
      </c>
      <c r="I176" s="71">
        <f t="shared" si="83"/>
        <v>18.703000000000003</v>
      </c>
      <c r="J176" s="128">
        <f t="shared" ref="J176:X176" si="84">SUM(J$169:J$172,J$175)-SUM(J$173:J$174)</f>
        <v>21.752000000000002</v>
      </c>
      <c r="K176" s="128">
        <f t="shared" si="84"/>
        <v>23.283000000000001</v>
      </c>
      <c r="L176" s="128">
        <f t="shared" si="84"/>
        <v>24.918000000000003</v>
      </c>
      <c r="M176" s="128">
        <f t="shared" si="84"/>
        <v>26.679000000000002</v>
      </c>
      <c r="N176" s="128">
        <f t="shared" si="84"/>
        <v>28.577000000000002</v>
      </c>
      <c r="O176" s="75">
        <f t="shared" si="84"/>
        <v>30.226203830818449</v>
      </c>
      <c r="P176" s="75">
        <f t="shared" si="84"/>
        <v>31.99406220157055</v>
      </c>
      <c r="Q176" s="75">
        <f t="shared" si="84"/>
        <v>33.890169059946132</v>
      </c>
      <c r="R176" s="75">
        <f t="shared" si="84"/>
        <v>38.676424253140304</v>
      </c>
      <c r="S176" s="75">
        <f t="shared" si="84"/>
        <v>43.632872607207361</v>
      </c>
      <c r="T176" s="75">
        <f t="shared" si="84"/>
        <v>48.746597921199651</v>
      </c>
      <c r="U176" s="75">
        <f t="shared" si="84"/>
        <v>53.968485075827402</v>
      </c>
      <c r="V176" s="75">
        <f t="shared" si="84"/>
        <v>59.284510291961503</v>
      </c>
      <c r="W176" s="75">
        <f t="shared" si="84"/>
        <v>64.64173319444852</v>
      </c>
      <c r="X176" s="75">
        <f t="shared" si="84"/>
        <v>70.005611604233735</v>
      </c>
    </row>
    <row r="177" spans="1:24" x14ac:dyDescent="0.2">
      <c r="A177" s="106" t="s">
        <v>649</v>
      </c>
      <c r="B177" s="42"/>
      <c r="C177" s="69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">
      <c r="A178" s="220" t="s">
        <v>684</v>
      </c>
      <c r="B178" s="228"/>
      <c r="C178" s="69"/>
      <c r="D178" s="69">
        <f>Data!C$202</f>
        <v>0.11899999999999999</v>
      </c>
      <c r="E178" s="69">
        <f>Data!D$202</f>
        <v>9.7000000000000003E-2</v>
      </c>
      <c r="F178" s="69">
        <f>Data!E$202</f>
        <v>7.6999999999999999E-2</v>
      </c>
      <c r="G178" s="69">
        <f>Data!F$202</f>
        <v>8.1000000000000003E-2</v>
      </c>
      <c r="H178" s="69">
        <f>Data!G$202</f>
        <v>0.111</v>
      </c>
      <c r="I178" s="69">
        <f>Data!H$202</f>
        <v>7.6999999999999999E-2</v>
      </c>
      <c r="J178" s="103">
        <f>Data!I$202 + IF($L$1="Yes",J$350,0)</f>
        <v>0.109</v>
      </c>
      <c r="K178" s="103">
        <f>Data!J$202 + IF($L$1="Yes",K$350,0)</f>
        <v>0.108</v>
      </c>
      <c r="L178" s="103">
        <f>Data!K$202 + IF($L$1="Yes",L$350,0)</f>
        <v>0.12</v>
      </c>
      <c r="M178" s="103">
        <f>Data!L$202 + IF($L$1="Yes",M$350,0)</f>
        <v>0.13</v>
      </c>
      <c r="N178" s="103">
        <f>Data!M$202 + IF($L$1="Yes",N$350,0)</f>
        <v>0.14199999999999999</v>
      </c>
      <c r="O178" s="73">
        <f t="shared" ref="O178:X178" si="85">N$178*O$173/N$173</f>
        <v>0.12301285034679721</v>
      </c>
      <c r="P178" s="73">
        <f t="shared" si="85"/>
        <v>0.13186320158360229</v>
      </c>
      <c r="Q178" s="73">
        <f t="shared" si="85"/>
        <v>0.14142915802902334</v>
      </c>
      <c r="R178" s="73">
        <f t="shared" si="85"/>
        <v>0.1574769075059736</v>
      </c>
      <c r="S178" s="73">
        <f t="shared" si="85"/>
        <v>0.18024103157830923</v>
      </c>
      <c r="T178" s="73">
        <f t="shared" si="85"/>
        <v>0.20234010305233097</v>
      </c>
      <c r="U178" s="73">
        <f t="shared" si="85"/>
        <v>0.22502730173821356</v>
      </c>
      <c r="V178" s="73">
        <f t="shared" si="85"/>
        <v>0.24816026216069373</v>
      </c>
      <c r="W178" s="73">
        <f t="shared" si="85"/>
        <v>0.27159602689055184</v>
      </c>
      <c r="X178" s="73">
        <f t="shared" si="85"/>
        <v>0.29514052936793561</v>
      </c>
    </row>
    <row r="179" spans="1:24" x14ac:dyDescent="0.2">
      <c r="A179" s="220" t="s">
        <v>648</v>
      </c>
      <c r="B179" s="228"/>
      <c r="C179" s="69"/>
      <c r="D179" s="69">
        <f>Data!C$90</f>
        <v>11.576000000000001</v>
      </c>
      <c r="E179" s="69">
        <f>Data!D$90</f>
        <v>12.933999999999999</v>
      </c>
      <c r="F179" s="69">
        <f>Data!E$90</f>
        <v>11.486000000000001</v>
      </c>
      <c r="G179" s="69">
        <f>Data!F$90</f>
        <v>14.189</v>
      </c>
      <c r="H179" s="69">
        <f>Data!G$90</f>
        <v>16.158999999999999</v>
      </c>
      <c r="I179" s="69">
        <f>Data!H$90</f>
        <v>17.196000000000002</v>
      </c>
      <c r="J179" s="103">
        <f>Data!I$90 + IF($L$1="Yes",J$357,0)</f>
        <v>21.33</v>
      </c>
      <c r="K179" s="103">
        <f>Data!J$90 + IF($L$1="Yes",K$357,0)</f>
        <v>22.699000000000002</v>
      </c>
      <c r="L179" s="103">
        <f>Data!K$90 + IF($L$1="Yes",L$357,0)</f>
        <v>24.295000000000002</v>
      </c>
      <c r="M179" s="103">
        <f>Data!L$90 + IF($L$1="Yes",M$357,0)</f>
        <v>26.204000000000001</v>
      </c>
      <c r="N179" s="103">
        <f>Data!M$90 + IF($L$1="Yes",N$357,0)</f>
        <v>28.15</v>
      </c>
      <c r="O179" s="73">
        <f>N$179*O$176/N$176</f>
        <v>29.774561284863324</v>
      </c>
      <c r="P179" s="73">
        <f t="shared" ref="P179:X179" si="86">O$179*P$176/O$176</f>
        <v>31.516004163285537</v>
      </c>
      <c r="Q179" s="73">
        <f t="shared" si="86"/>
        <v>33.38377922936219</v>
      </c>
      <c r="R179" s="73">
        <f t="shared" si="86"/>
        <v>38.098517784438506</v>
      </c>
      <c r="S179" s="73">
        <f t="shared" si="86"/>
        <v>42.980906459491436</v>
      </c>
      <c r="T179" s="73">
        <f t="shared" si="86"/>
        <v>48.018222048562471</v>
      </c>
      <c r="U179" s="73">
        <f t="shared" si="86"/>
        <v>53.162083314712568</v>
      </c>
      <c r="V179" s="73">
        <f t="shared" si="86"/>
        <v>58.398676023330509</v>
      </c>
      <c r="W179" s="73">
        <f t="shared" si="86"/>
        <v>63.675850838916801</v>
      </c>
      <c r="X179" s="73">
        <f t="shared" si="86"/>
        <v>68.959581714636911</v>
      </c>
    </row>
    <row r="180" spans="1:24" x14ac:dyDescent="0.2">
      <c r="A180" s="31"/>
      <c r="B180" s="36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1:24" x14ac:dyDescent="0.2">
      <c r="A181" s="106" t="s">
        <v>642</v>
      </c>
      <c r="B181" s="36"/>
      <c r="C181" s="69"/>
      <c r="D181" s="69"/>
      <c r="E181" s="69"/>
      <c r="F181" s="69"/>
      <c r="G181" s="103"/>
      <c r="H181" s="103"/>
      <c r="I181" s="103"/>
      <c r="J181" s="103"/>
      <c r="K181" s="103"/>
      <c r="L181" s="103"/>
    </row>
    <row r="182" spans="1:24" x14ac:dyDescent="0.2">
      <c r="A182" s="271" t="s">
        <v>811</v>
      </c>
      <c r="B182" s="264"/>
      <c r="C182" s="69"/>
      <c r="D182" s="262">
        <f>Data!C$92-D$184</f>
        <v>3.0759999999999996</v>
      </c>
      <c r="E182" s="262">
        <f>Data!D$92-E$184</f>
        <v>3.5359999999999996</v>
      </c>
      <c r="F182" s="262">
        <f>Data!E$92-F$184</f>
        <v>3.8760000000000003</v>
      </c>
      <c r="G182" s="262">
        <f>Data!F$92-G$184</f>
        <v>4.0770000000000035</v>
      </c>
      <c r="H182" s="262">
        <f>Data!G$92-H$184</f>
        <v>4.6190000000000033</v>
      </c>
      <c r="I182" s="262">
        <f>Data!H$92-I$184</f>
        <v>5.033000000000003</v>
      </c>
      <c r="J182" s="103">
        <f>Data!I$92-J$184</f>
        <v>4.9170000000000034</v>
      </c>
      <c r="K182" s="103">
        <f>Data!J$92-K$184</f>
        <v>5.3860000000000046</v>
      </c>
      <c r="L182" s="103">
        <f>Data!K$92-L$184</f>
        <v>5.632000000000005</v>
      </c>
      <c r="M182" s="103">
        <f>Data!L$92-M$184</f>
        <v>6.1400000000000059</v>
      </c>
      <c r="N182" s="103">
        <f>Data!M$92-N$184</f>
        <v>6.0720000000000027</v>
      </c>
      <c r="O182" s="258">
        <f t="shared" ref="O182:X182" ca="1" si="87">N$182*(1+O$247)</f>
        <v>6.1957600767386118</v>
      </c>
      <c r="P182" s="258">
        <f t="shared" ca="1" si="87"/>
        <v>6.319675278273384</v>
      </c>
      <c r="Q182" s="258">
        <f t="shared" ca="1" si="87"/>
        <v>6.446068783838852</v>
      </c>
      <c r="R182" s="258">
        <f t="shared" ca="1" si="87"/>
        <v>6.5749901595156288</v>
      </c>
      <c r="S182" s="258">
        <f t="shared" ca="1" si="87"/>
        <v>6.7064899627059411</v>
      </c>
      <c r="T182" s="258">
        <f t="shared" ca="1" si="87"/>
        <v>6.8406197619600597</v>
      </c>
      <c r="U182" s="258">
        <f t="shared" ca="1" si="87"/>
        <v>6.977432157199261</v>
      </c>
      <c r="V182" s="258">
        <f t="shared" ca="1" si="87"/>
        <v>7.1169808003432466</v>
      </c>
      <c r="W182" s="258">
        <f t="shared" ca="1" si="87"/>
        <v>7.2593204163501115</v>
      </c>
      <c r="X182" s="258">
        <f t="shared" ca="1" si="87"/>
        <v>7.4045068246771137</v>
      </c>
    </row>
    <row r="183" spans="1:24" x14ac:dyDescent="0.2">
      <c r="A183" s="271" t="s">
        <v>812</v>
      </c>
      <c r="B183" s="264"/>
      <c r="C183" s="69"/>
      <c r="D183" s="262">
        <f>Data!C$204</f>
        <v>0</v>
      </c>
      <c r="E183" s="262">
        <f>Data!D$204</f>
        <v>0</v>
      </c>
      <c r="F183" s="262">
        <f>Data!E$204</f>
        <v>0</v>
      </c>
      <c r="G183" s="262">
        <f>Data!F$204</f>
        <v>0.22</v>
      </c>
      <c r="H183" s="262">
        <f>Data!G$204</f>
        <v>0.36799999999999999</v>
      </c>
      <c r="I183" s="262">
        <f>Data!H$204</f>
        <v>0.25600000000000001</v>
      </c>
      <c r="J183" s="103">
        <f>Data!I$204</f>
        <v>0.25911000000000001</v>
      </c>
      <c r="K183" s="103">
        <f>Data!J$204</f>
        <v>0.25911000000000001</v>
      </c>
      <c r="L183" s="103">
        <f>Data!K$204</f>
        <v>0.25911000000000001</v>
      </c>
      <c r="M183" s="103">
        <f>Data!L$204</f>
        <v>0.25911000000000001</v>
      </c>
      <c r="N183" s="103">
        <f>Data!M$204</f>
        <v>0.25911000000000001</v>
      </c>
      <c r="O183" s="258">
        <f t="shared" ref="O183:X183" si="88">N$183*O$176/N$176</f>
        <v>0.274063466235202</v>
      </c>
      <c r="P183" s="258">
        <f t="shared" si="88"/>
        <v>0.29009278290404678</v>
      </c>
      <c r="Q183" s="258">
        <f t="shared" si="88"/>
        <v>0.30728493911616478</v>
      </c>
      <c r="R183" s="258">
        <f t="shared" si="88"/>
        <v>0.35068230703821895</v>
      </c>
      <c r="S183" s="258">
        <f t="shared" si="88"/>
        <v>0.39562283029196549</v>
      </c>
      <c r="T183" s="258">
        <f t="shared" si="88"/>
        <v>0.44198939662532943</v>
      </c>
      <c r="U183" s="258">
        <f t="shared" si="88"/>
        <v>0.48933667522824775</v>
      </c>
      <c r="V183" s="258">
        <f t="shared" si="88"/>
        <v>0.53753751134654248</v>
      </c>
      <c r="W183" s="258">
        <f t="shared" si="88"/>
        <v>0.58611189026187338</v>
      </c>
      <c r="X183" s="258">
        <f t="shared" si="88"/>
        <v>0.63474661520708975</v>
      </c>
    </row>
    <row r="184" spans="1:24" x14ac:dyDescent="0.2">
      <c r="A184" s="271" t="s">
        <v>643</v>
      </c>
      <c r="B184" s="265"/>
      <c r="C184" s="69"/>
      <c r="D184" s="268">
        <f>D$196</f>
        <v>6.0110000000000001</v>
      </c>
      <c r="E184" s="268">
        <f t="shared" ref="E184:X184" si="89">E$196</f>
        <v>6.7409999999999997</v>
      </c>
      <c r="F184" s="268">
        <f t="shared" si="89"/>
        <v>6.5529999999999999</v>
      </c>
      <c r="G184" s="268">
        <f t="shared" si="89"/>
        <v>6.7899999999999974</v>
      </c>
      <c r="H184" s="268">
        <f t="shared" si="89"/>
        <v>7.4599999999999973</v>
      </c>
      <c r="I184" s="268">
        <f t="shared" si="89"/>
        <v>8.2909999999999968</v>
      </c>
      <c r="J184" s="127">
        <f t="shared" si="89"/>
        <v>8.5279999999999969</v>
      </c>
      <c r="K184" s="127">
        <f t="shared" si="89"/>
        <v>8.9889999999999954</v>
      </c>
      <c r="L184" s="127">
        <f t="shared" si="89"/>
        <v>9.4499999999999957</v>
      </c>
      <c r="M184" s="127">
        <f t="shared" si="89"/>
        <v>9.9279999999999955</v>
      </c>
      <c r="N184" s="127">
        <f t="shared" si="89"/>
        <v>10.417999999999996</v>
      </c>
      <c r="O184" s="269">
        <f t="shared" si="89"/>
        <v>10.81134561991383</v>
      </c>
      <c r="P184" s="269">
        <f t="shared" si="89"/>
        <v>11.172342269028238</v>
      </c>
      <c r="Q184" s="269">
        <f t="shared" si="89"/>
        <v>11.510200574437523</v>
      </c>
      <c r="R184" s="269">
        <f t="shared" si="89"/>
        <v>11.83304691239827</v>
      </c>
      <c r="S184" s="269">
        <f t="shared" si="89"/>
        <v>12.150912876974623</v>
      </c>
      <c r="T184" s="269">
        <f t="shared" si="89"/>
        <v>12.463819530876011</v>
      </c>
      <c r="U184" s="269">
        <f t="shared" si="89"/>
        <v>12.774745811393004</v>
      </c>
      <c r="V184" s="269">
        <f t="shared" si="89"/>
        <v>13.081702249880319</v>
      </c>
      <c r="W184" s="269">
        <f t="shared" si="89"/>
        <v>13.407467687888936</v>
      </c>
      <c r="X184" s="269">
        <f t="shared" si="89"/>
        <v>13.75081043561512</v>
      </c>
    </row>
    <row r="185" spans="1:24" x14ac:dyDescent="0.2">
      <c r="A185" s="260" t="s">
        <v>644</v>
      </c>
      <c r="B185" s="262"/>
      <c r="C185" s="69"/>
      <c r="D185" s="267">
        <f>SUM(D$182:D$184)</f>
        <v>9.0869999999999997</v>
      </c>
      <c r="E185" s="267">
        <f t="shared" ref="E185:X185" si="90">SUM(E$182:E$184)</f>
        <v>10.276999999999999</v>
      </c>
      <c r="F185" s="267">
        <f t="shared" si="90"/>
        <v>10.429</v>
      </c>
      <c r="G185" s="267">
        <f t="shared" si="90"/>
        <v>11.087</v>
      </c>
      <c r="H185" s="267">
        <f t="shared" si="90"/>
        <v>12.447000000000001</v>
      </c>
      <c r="I185" s="267">
        <f t="shared" si="90"/>
        <v>13.58</v>
      </c>
      <c r="J185" s="128">
        <f t="shared" si="90"/>
        <v>13.70411</v>
      </c>
      <c r="K185" s="128">
        <f t="shared" si="90"/>
        <v>14.63411</v>
      </c>
      <c r="L185" s="128">
        <f t="shared" si="90"/>
        <v>15.34111</v>
      </c>
      <c r="M185" s="128">
        <f t="shared" si="90"/>
        <v>16.327110000000001</v>
      </c>
      <c r="N185" s="128">
        <f t="shared" si="90"/>
        <v>16.749109999999998</v>
      </c>
      <c r="O185" s="270">
        <f t="shared" ca="1" si="90"/>
        <v>17.281169162887643</v>
      </c>
      <c r="P185" s="270">
        <f t="shared" ca="1" si="90"/>
        <v>17.782110330205668</v>
      </c>
      <c r="Q185" s="270">
        <f t="shared" ca="1" si="90"/>
        <v>18.263554297392538</v>
      </c>
      <c r="R185" s="270">
        <f t="shared" ca="1" si="90"/>
        <v>18.758719378952119</v>
      </c>
      <c r="S185" s="270">
        <f t="shared" ca="1" si="90"/>
        <v>19.25302566997253</v>
      </c>
      <c r="T185" s="270">
        <f t="shared" ca="1" si="90"/>
        <v>19.7464286894614</v>
      </c>
      <c r="U185" s="270">
        <f t="shared" ca="1" si="90"/>
        <v>20.241514643820512</v>
      </c>
      <c r="V185" s="270">
        <f t="shared" ca="1" si="90"/>
        <v>20.736220561570107</v>
      </c>
      <c r="W185" s="270">
        <f t="shared" ca="1" si="90"/>
        <v>21.252899994500922</v>
      </c>
      <c r="X185" s="270">
        <f t="shared" ca="1" si="90"/>
        <v>21.790063875499325</v>
      </c>
    </row>
    <row r="186" spans="1:24" x14ac:dyDescent="0.2">
      <c r="A186" s="260" t="s">
        <v>647</v>
      </c>
      <c r="B186" s="264"/>
      <c r="C186" s="69"/>
      <c r="D186" s="267">
        <f>Data!C$62</f>
        <v>11.792999999999999</v>
      </c>
      <c r="E186" s="267">
        <f>Data!D$62</f>
        <v>12.948</v>
      </c>
      <c r="F186" s="267">
        <f>Data!E$62</f>
        <v>15.603999999999999</v>
      </c>
      <c r="G186" s="267">
        <f>Data!F$62</f>
        <v>18.446999999999999</v>
      </c>
      <c r="H186" s="267">
        <f>Data!G$62</f>
        <v>20.567</v>
      </c>
      <c r="I186" s="267">
        <f>Data!H$62</f>
        <v>21.765999999999998</v>
      </c>
      <c r="J186" s="128">
        <f>Data!I$62</f>
        <v>23.431999999999999</v>
      </c>
      <c r="K186" s="128">
        <f>Data!J$62</f>
        <v>25.312000000000001</v>
      </c>
      <c r="L186" s="128">
        <f>Data!K$62</f>
        <v>27.751000000000001</v>
      </c>
      <c r="M186" s="128">
        <f>Data!L$62</f>
        <v>30.309000000000001</v>
      </c>
      <c r="N186" s="128">
        <f>Data!M$62</f>
        <v>33.131</v>
      </c>
      <c r="O186" s="270">
        <f t="shared" ref="O186:X186" ca="1" si="91">SUM(O$185,(N$186-N$185)*(1+O$247))</f>
        <v>33.996956390081891</v>
      </c>
      <c r="P186" s="270">
        <f t="shared" ca="1" si="91"/>
        <v>34.832213301943803</v>
      </c>
      <c r="Q186" s="270">
        <f t="shared" ca="1" si="91"/>
        <v>35.654659328565437</v>
      </c>
      <c r="R186" s="270">
        <f t="shared" ca="1" si="91"/>
        <v>36.497646510748474</v>
      </c>
      <c r="S186" s="270">
        <f t="shared" ca="1" si="91"/>
        <v>37.346731344404816</v>
      </c>
      <c r="T186" s="270">
        <f t="shared" ca="1" si="91"/>
        <v>38.202008477382336</v>
      </c>
      <c r="U186" s="270">
        <f t="shared" ca="1" si="91"/>
        <v>39.066206027499867</v>
      </c>
      <c r="V186" s="270">
        <f t="shared" ca="1" si="91"/>
        <v>39.93740577292305</v>
      </c>
      <c r="W186" s="270">
        <f t="shared" ca="1" si="91"/>
        <v>40.838108910080919</v>
      </c>
      <c r="X186" s="270">
        <f t="shared" ca="1" si="91"/>
        <v>41.766976969390925</v>
      </c>
    </row>
    <row r="187" spans="1:24" x14ac:dyDescent="0.2">
      <c r="A187" s="27"/>
      <c r="B187" s="36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</row>
    <row r="188" spans="1:24" x14ac:dyDescent="0.2">
      <c r="A188" s="106" t="s">
        <v>393</v>
      </c>
      <c r="B188" s="36"/>
      <c r="C188" s="69"/>
      <c r="D188" s="73"/>
      <c r="E188" s="73"/>
      <c r="F188" s="73"/>
      <c r="G188" s="73"/>
      <c r="H188" s="73"/>
      <c r="I188" s="73"/>
      <c r="J188" s="73"/>
    </row>
    <row r="189" spans="1:24" x14ac:dyDescent="0.2">
      <c r="A189" s="30" t="s">
        <v>540</v>
      </c>
      <c r="B189" s="36"/>
      <c r="C189" s="69"/>
      <c r="D189" s="69">
        <f>Data!C$183</f>
        <v>5.569</v>
      </c>
      <c r="E189" s="69">
        <f>D$196</f>
        <v>6.0110000000000001</v>
      </c>
      <c r="F189" s="69">
        <f>E$196</f>
        <v>6.7409999999999997</v>
      </c>
      <c r="G189" s="69">
        <f>F$196</f>
        <v>6.5529999999999999</v>
      </c>
      <c r="H189" s="69">
        <f>G$196</f>
        <v>6.7899999999999974</v>
      </c>
      <c r="I189" s="69">
        <f>H$196</f>
        <v>7.4599999999999973</v>
      </c>
      <c r="J189" s="103">
        <f t="shared" ref="J189:X189" si="92">I$196</f>
        <v>8.2909999999999968</v>
      </c>
      <c r="K189" s="103">
        <f t="shared" si="92"/>
        <v>8.5279999999999969</v>
      </c>
      <c r="L189" s="103">
        <f t="shared" si="92"/>
        <v>8.9889999999999954</v>
      </c>
      <c r="M189" s="103">
        <f t="shared" si="92"/>
        <v>9.4499999999999957</v>
      </c>
      <c r="N189" s="103">
        <f t="shared" si="92"/>
        <v>9.9279999999999955</v>
      </c>
      <c r="O189" s="73">
        <f t="shared" si="92"/>
        <v>10.417999999999996</v>
      </c>
      <c r="P189" s="73">
        <f t="shared" si="92"/>
        <v>10.81134561991383</v>
      </c>
      <c r="Q189" s="73">
        <f t="shared" si="92"/>
        <v>11.172342269028238</v>
      </c>
      <c r="R189" s="73">
        <f t="shared" si="92"/>
        <v>11.510200574437523</v>
      </c>
      <c r="S189" s="73">
        <f t="shared" si="92"/>
        <v>11.83304691239827</v>
      </c>
      <c r="T189" s="73">
        <f t="shared" si="92"/>
        <v>12.150912876974623</v>
      </c>
      <c r="U189" s="73">
        <f t="shared" si="92"/>
        <v>12.463819530876011</v>
      </c>
      <c r="V189" s="73">
        <f t="shared" si="92"/>
        <v>12.774745811393004</v>
      </c>
      <c r="W189" s="73">
        <f t="shared" si="92"/>
        <v>13.081702249880319</v>
      </c>
      <c r="X189" s="73">
        <f t="shared" si="92"/>
        <v>13.407467687888936</v>
      </c>
    </row>
    <row r="190" spans="1:24" x14ac:dyDescent="0.2">
      <c r="A190" s="31" t="s">
        <v>630</v>
      </c>
      <c r="B190" s="228"/>
      <c r="C190" s="69"/>
      <c r="D190" s="69">
        <f>Data!C$184</f>
        <v>1.1759999999999999</v>
      </c>
      <c r="E190" s="69">
        <f>Data!D$184</f>
        <v>1.2010000000000001</v>
      </c>
      <c r="F190" s="69">
        <f>Data!E$184</f>
        <v>1.35</v>
      </c>
      <c r="G190" s="69">
        <f>Data!F$184</f>
        <v>1.5249999999999999</v>
      </c>
      <c r="H190" s="69">
        <f>Data!G$184</f>
        <v>1.5640000000000001</v>
      </c>
      <c r="I190" s="69">
        <f>Data!H$184</f>
        <v>1.5860000000000001</v>
      </c>
      <c r="J190" s="103">
        <f>Data!I$184</f>
        <v>1.5529999999999999</v>
      </c>
      <c r="K190" s="103">
        <f>Data!J$184</f>
        <v>1.6319999999999999</v>
      </c>
      <c r="L190" s="103">
        <f>Data!K$184</f>
        <v>1.681</v>
      </c>
      <c r="M190" s="103">
        <f>Data!L$184</f>
        <v>1.7330000000000001</v>
      </c>
      <c r="N190" s="103">
        <f>Data!M$184</f>
        <v>1.802</v>
      </c>
      <c r="O190" s="73">
        <f>SUM(N$190,Tracks!S$20-Tracks!R$20)</f>
        <v>1.8180000000000001</v>
      </c>
      <c r="P190" s="73">
        <f>SUM(O$190,Tracks!T$20-Tracks!S$20)</f>
        <v>1.8610000000000002</v>
      </c>
      <c r="Q190" s="73">
        <f>SUM(P$190,Tracks!U$20-Tracks!T$20)</f>
        <v>1.9180000000000001</v>
      </c>
      <c r="R190" s="73">
        <f>SUM(Q$190,Tracks!V$20-Tracks!U$20)</f>
        <v>1.9600000000000002</v>
      </c>
      <c r="S190" s="73">
        <f>SUM(R$190,Tracks!W$20-Tracks!V$20)</f>
        <v>2.016</v>
      </c>
      <c r="T190" s="73">
        <f>SUM(S$190,Tracks!X$20-Tracks!W$20)</f>
        <v>2.0810000000000004</v>
      </c>
      <c r="U190" s="73">
        <f>SUM(T$190,Tracks!Y$20-Tracks!X$20)</f>
        <v>2.1350000000000007</v>
      </c>
      <c r="V190" s="73">
        <f>SUM(U$190,Tracks!Z$20-Tracks!Y$20)</f>
        <v>2.1940000000000004</v>
      </c>
      <c r="W190" s="73">
        <f>SUM(V$190,Tracks!AA$20-Tracks!Z$20)</f>
        <v>2.2690000000000006</v>
      </c>
      <c r="X190" s="73">
        <f>SUM(W$190,Tracks!AB$20-Tracks!AA$20)</f>
        <v>2.3510000000000004</v>
      </c>
    </row>
    <row r="191" spans="1:24" x14ac:dyDescent="0.2">
      <c r="A191" s="31" t="s">
        <v>631</v>
      </c>
      <c r="B191" s="228"/>
      <c r="C191" s="69"/>
      <c r="D191" s="69">
        <f>Data!C$185</f>
        <v>0.48799999999999999</v>
      </c>
      <c r="E191" s="69">
        <f>Data!D$185</f>
        <v>0.48699999999999999</v>
      </c>
      <c r="F191" s="69">
        <f>Data!E$185</f>
        <v>0.53200000000000003</v>
      </c>
      <c r="G191" s="69">
        <f>Data!F$185</f>
        <v>0.72799999999999998</v>
      </c>
      <c r="H191" s="69">
        <f>Data!G$185</f>
        <v>0.71299999999999997</v>
      </c>
      <c r="I191" s="69">
        <f>Data!H$185</f>
        <v>0.70099999999999996</v>
      </c>
      <c r="J191" s="103">
        <f>Data!I$185</f>
        <v>0.52800000000000002</v>
      </c>
      <c r="K191" s="103">
        <f>Data!J$185</f>
        <v>0.53700000000000003</v>
      </c>
      <c r="L191" s="103">
        <f>Data!K$185</f>
        <v>0.55400000000000005</v>
      </c>
      <c r="M191" s="103">
        <f>Data!L$185</f>
        <v>0.56999999999999995</v>
      </c>
      <c r="N191" s="103">
        <f>Data!M$185</f>
        <v>0.59299999999999997</v>
      </c>
      <c r="O191" s="73">
        <f>SUM(N$191,Tracks!S$21-Tracks!R$21)</f>
        <v>0.621</v>
      </c>
      <c r="P191" s="73">
        <f>SUM(O$191,Tracks!T$21-Tracks!S$21)</f>
        <v>0.65200000000000002</v>
      </c>
      <c r="Q191" s="73">
        <f>SUM(P$191,Tracks!U$21-Tracks!T$21)</f>
        <v>0.69100000000000006</v>
      </c>
      <c r="R191" s="73">
        <f>SUM(Q$191,Tracks!V$21-Tracks!U$21)</f>
        <v>0.72299999999999998</v>
      </c>
      <c r="S191" s="73">
        <f>SUM(R$191,Tracks!W$21-Tracks!V$21)</f>
        <v>0.76200000000000001</v>
      </c>
      <c r="T191" s="73">
        <f>SUM(S$191,Tracks!X$21-Tracks!W$21)</f>
        <v>0.80600000000000005</v>
      </c>
      <c r="U191" s="73">
        <f>SUM(T$191,Tracks!Y$21-Tracks!X$21)</f>
        <v>0.83800000000000008</v>
      </c>
      <c r="V191" s="73">
        <f>SUM(U$191,Tracks!Z$21-Tracks!Y$21)</f>
        <v>0.872</v>
      </c>
      <c r="W191" s="73">
        <f>SUM(V$191,Tracks!AA$21-Tracks!Z$21)</f>
        <v>0.91199999999999992</v>
      </c>
      <c r="X191" s="73">
        <f>SUM(W$191,Tracks!AB$21-Tracks!AA$21)</f>
        <v>0.95700000000000007</v>
      </c>
    </row>
    <row r="192" spans="1:24" x14ac:dyDescent="0.2">
      <c r="A192" s="31" t="s">
        <v>632</v>
      </c>
      <c r="B192" s="228"/>
      <c r="C192" s="69"/>
      <c r="D192" s="69">
        <f>Data!C$186</f>
        <v>0.55500000000000005</v>
      </c>
      <c r="E192" s="69">
        <f>Data!D$186</f>
        <v>0.629</v>
      </c>
      <c r="F192" s="69">
        <f>Data!E$186</f>
        <v>0.71</v>
      </c>
      <c r="G192" s="69">
        <f>Data!F$186</f>
        <v>0.754</v>
      </c>
      <c r="H192" s="69">
        <f>Data!G$186</f>
        <v>0.80200000000000005</v>
      </c>
      <c r="I192" s="69">
        <f>Data!H$186</f>
        <v>0.877</v>
      </c>
      <c r="J192" s="103">
        <f>Data!I$186</f>
        <v>1.149</v>
      </c>
      <c r="K192" s="103">
        <f>Data!J$186</f>
        <v>1.135</v>
      </c>
      <c r="L192" s="103">
        <f>Data!K$186</f>
        <v>1.1990000000000001</v>
      </c>
      <c r="M192" s="103">
        <f>Data!L$186</f>
        <v>1.2490000000000001</v>
      </c>
      <c r="N192" s="103">
        <f>Data!M$186</f>
        <v>1.3140000000000001</v>
      </c>
      <c r="O192" s="73">
        <f>SUM(N$192,Tracks!S$22-Tracks!R$22)</f>
        <v>1.4019999999999999</v>
      </c>
      <c r="P192" s="73">
        <f>SUM(O$192,Tracks!T$22-Tracks!S$22)</f>
        <v>1.4590000000000001</v>
      </c>
      <c r="Q192" s="73">
        <f>SUM(P$192,Tracks!U$22-Tracks!T$22)</f>
        <v>1.514</v>
      </c>
      <c r="R192" s="73">
        <f>SUM(Q$192,Tracks!V$22-Tracks!U$22)</f>
        <v>1.554</v>
      </c>
      <c r="S192" s="73">
        <f>SUM(R$192,Tracks!W$22-Tracks!V$22)</f>
        <v>1.593</v>
      </c>
      <c r="T192" s="73">
        <f>SUM(S$192,Tracks!X$22-Tracks!W$22)</f>
        <v>1.637</v>
      </c>
      <c r="U192" s="73">
        <f>SUM(T$192,Tracks!Y$22-Tracks!X$22)</f>
        <v>1.681</v>
      </c>
      <c r="V192" s="73">
        <f>SUM(U$192,Tracks!Z$22-Tracks!Y$22)</f>
        <v>1.7310000000000001</v>
      </c>
      <c r="W192" s="73">
        <f>SUM(V$192,Tracks!AA$22-Tracks!Z$22)</f>
        <v>1.77</v>
      </c>
      <c r="X192" s="73">
        <f>SUM(W$192,Tracks!AB$22-Tracks!AA$22)</f>
        <v>1.8140000000000001</v>
      </c>
    </row>
    <row r="193" spans="1:24" x14ac:dyDescent="0.2">
      <c r="A193" s="31" t="s">
        <v>633</v>
      </c>
      <c r="B193" s="228"/>
      <c r="C193" s="69"/>
      <c r="D193" s="69">
        <f>Data!C$187</f>
        <v>0.36</v>
      </c>
      <c r="E193" s="69">
        <f>Data!D$187</f>
        <v>0.40699999999999997</v>
      </c>
      <c r="F193" s="69">
        <f>Data!E$187</f>
        <v>0.46500000000000002</v>
      </c>
      <c r="G193" s="69">
        <f>Data!F$187</f>
        <v>0.46300000000000002</v>
      </c>
      <c r="H193" s="69">
        <f>Data!G$187</f>
        <v>0.48399999999999999</v>
      </c>
      <c r="I193" s="69">
        <f>Data!H$187</f>
        <v>0.52600000000000002</v>
      </c>
      <c r="J193" s="103">
        <f>Data!I$187</f>
        <v>0.58099999999999996</v>
      </c>
      <c r="K193" s="103">
        <f>Data!J$187</f>
        <v>0.6</v>
      </c>
      <c r="L193" s="103">
        <f>Data!K$187</f>
        <v>0.63100000000000001</v>
      </c>
      <c r="M193" s="103">
        <f>Data!L$187</f>
        <v>0.66300000000000003</v>
      </c>
      <c r="N193" s="103">
        <f>Data!M$187</f>
        <v>0.69499999999999995</v>
      </c>
      <c r="O193" s="73">
        <f>SUM(N$193,Tracks!S$23-Tracks!R$23)</f>
        <v>0.71199999999999997</v>
      </c>
      <c r="P193" s="73">
        <f>SUM(O$193,Tracks!T$23-Tracks!S$23)</f>
        <v>0.72799999999999998</v>
      </c>
      <c r="Q193" s="73">
        <f>SUM(P$193,Tracks!U$23-Tracks!T$23)</f>
        <v>0.745</v>
      </c>
      <c r="R193" s="73">
        <f>SUM(Q$193,Tracks!V$23-Tracks!U$23)</f>
        <v>0.7629999999999999</v>
      </c>
      <c r="S193" s="73">
        <f>SUM(R$193,Tracks!W$23-Tracks!V$23)</f>
        <v>0.78299999999999992</v>
      </c>
      <c r="T193" s="73">
        <f>SUM(S$193,Tracks!X$23-Tracks!W$23)</f>
        <v>0.80399999999999994</v>
      </c>
      <c r="U193" s="73">
        <f>SUM(T$193,Tracks!Y$23-Tracks!X$23)</f>
        <v>0.82699999999999996</v>
      </c>
      <c r="V193" s="73">
        <f>SUM(U$193,Tracks!Z$23-Tracks!Y$23)</f>
        <v>0.85099999999999998</v>
      </c>
      <c r="W193" s="73">
        <f>SUM(V$193,Tracks!AA$23-Tracks!Z$23)</f>
        <v>0.87699999999999989</v>
      </c>
      <c r="X193" s="73">
        <f>SUM(W$193,Tracks!AB$23-Tracks!AA$23)</f>
        <v>0.90499999999999992</v>
      </c>
    </row>
    <row r="194" spans="1:24" x14ac:dyDescent="0.2">
      <c r="A194" s="31" t="s">
        <v>634</v>
      </c>
      <c r="B194" s="228"/>
      <c r="C194" s="69"/>
      <c r="D194" s="69">
        <f>Data!C$188</f>
        <v>0.151</v>
      </c>
      <c r="E194" s="69">
        <f>Data!D$188</f>
        <v>-0.23100000000000001</v>
      </c>
      <c r="F194" s="69">
        <f>Data!E$188</f>
        <v>0.77900000000000003</v>
      </c>
      <c r="G194" s="69">
        <f>Data!F$188</f>
        <v>0.28000000000000003</v>
      </c>
      <c r="H194" s="69">
        <f>Data!G$188</f>
        <v>-0.125</v>
      </c>
      <c r="I194" s="69">
        <f>Data!H$188</f>
        <v>-0.28599999999999998</v>
      </c>
      <c r="J194" s="103">
        <f>Data!I$188</f>
        <v>0.23200000000000001</v>
      </c>
      <c r="K194" s="103">
        <f>Data!J$188</f>
        <v>0.11</v>
      </c>
      <c r="L194" s="103">
        <f>Data!K$188</f>
        <v>0.11</v>
      </c>
      <c r="M194" s="103">
        <f>Data!L$188</f>
        <v>0.11</v>
      </c>
      <c r="N194" s="103">
        <f>Data!M$188</f>
        <v>0.11</v>
      </c>
      <c r="O194" s="73">
        <f>N$194*(1+IF(SUM(O$189,O$190,O$193)-SUM(O$191,O$192,N$194)&gt;Tracks!S$26/1000,1,-1)*(Tracks!S$26/Tracks!R$26-1))</f>
        <v>0.11365438008616563</v>
      </c>
      <c r="P194" s="73">
        <f>O$194*(1+IF(SUM(P$189,P$190,P$193)-SUM(P$191,P$192,O$194)&gt;Tracks!T$26/1000,1,-1)*(Tracks!T$26/Tracks!S$26-1))</f>
        <v>0.11700335088559119</v>
      </c>
      <c r="Q194" s="73">
        <f>P$194*(1+IF(SUM(Q$189,Q$190,Q$193)-SUM(Q$191,Q$192,P$194)&gt;Tracks!U$26/1000,1,-1)*(Tracks!U$26/Tracks!T$26-1))</f>
        <v>0.12014169459071326</v>
      </c>
      <c r="R194" s="73">
        <f>Q$194*(1+IF(SUM(R$189,R$190,R$193)-SUM(R$191,R$192,Q$194)&gt;Tracks!V$26/1000,1,-1)*(Tracks!V$26/Tracks!U$26-1))</f>
        <v>0.12315366203925325</v>
      </c>
      <c r="S194" s="73">
        <f>R$194*(1+IF(SUM(S$189,S$190,S$193)-SUM(S$191,S$192,R$194)&gt;Tracks!W$26/1000,1,-1)*(Tracks!W$26/Tracks!V$26-1))</f>
        <v>0.12613403542364768</v>
      </c>
      <c r="T194" s="73">
        <f>S$194*(1+IF(SUM(T$189,T$190,T$193)-SUM(T$191,T$192,S$194)&gt;Tracks!X$26/1000,1,-1)*(Tracks!X$26/Tracks!W$26-1))</f>
        <v>0.12909334609861178</v>
      </c>
      <c r="U194" s="73">
        <f>T$194*(1+IF(SUM(U$189,U$190,U$193)-SUM(U$191,U$192,T$194)&gt;Tracks!Y$26/1000,1,-1)*(Tracks!Y$26/Tracks!X$26-1))</f>
        <v>0.13207371948300625</v>
      </c>
      <c r="V194" s="73">
        <f>U$194*(1+IF(SUM(V$189,V$190,V$193)-SUM(V$191,V$192,U$194)&gt;Tracks!Z$26/1000,1,-1)*(Tracks!Z$26/Tracks!Y$26-1))</f>
        <v>0.13504356151268554</v>
      </c>
      <c r="W194" s="73">
        <f>V$194*(1+IF(SUM(W$189,W$190,W$193)-SUM(W$191,W$192,V$194)&gt;Tracks!AA$26/1000,1,-1)*(Tracks!AA$26/Tracks!Z$26-1))</f>
        <v>0.13823456199138345</v>
      </c>
      <c r="X194" s="73">
        <f>W$194*(1+IF(SUM(X$189,X$190,X$193)-SUM(X$191,X$192,W$194)&gt;Tracks!AB$26/1000,1,-1)*(Tracks!AB$26/Tracks!AA$26-1))</f>
        <v>0.14165725227381526</v>
      </c>
    </row>
    <row r="195" spans="1:24" x14ac:dyDescent="0.2">
      <c r="A195" s="31" t="s">
        <v>635</v>
      </c>
      <c r="B195" s="228"/>
      <c r="C195" s="69"/>
      <c r="D195" s="173">
        <f>Data!C$189</f>
        <v>0.1</v>
      </c>
      <c r="E195" s="173">
        <f>Data!D$189</f>
        <v>7.0000000000000001E-3</v>
      </c>
      <c r="F195" s="173">
        <f>Data!E$189</f>
        <v>1.7999999999999999E-2</v>
      </c>
      <c r="G195" s="173">
        <f>Data!F$189</f>
        <v>1.0999999999999999E-2</v>
      </c>
      <c r="H195" s="173">
        <f>Data!G$189</f>
        <v>1.2E-2</v>
      </c>
      <c r="I195" s="173">
        <f>Data!H$189</f>
        <v>1.0999999999999999E-2</v>
      </c>
      <c r="J195" s="127">
        <f>Data!I$189</f>
        <v>1.2E-2</v>
      </c>
      <c r="K195" s="127">
        <f>Data!J$189</f>
        <v>1.0999999999999999E-2</v>
      </c>
      <c r="L195" s="127">
        <f>Data!K$189</f>
        <v>1.2E-2</v>
      </c>
      <c r="M195" s="127">
        <f>Data!L$189</f>
        <v>1.0999999999999999E-2</v>
      </c>
      <c r="N195" s="127">
        <f>Data!M$189</f>
        <v>0.01</v>
      </c>
      <c r="O195" s="81">
        <f t="shared" ref="O195:X195" si="93">IF(O$2="Proj Yr1", 0,N$195)</f>
        <v>0</v>
      </c>
      <c r="P195" s="81">
        <f t="shared" si="93"/>
        <v>0</v>
      </c>
      <c r="Q195" s="81">
        <f t="shared" si="93"/>
        <v>0</v>
      </c>
      <c r="R195" s="81">
        <f t="shared" si="93"/>
        <v>0</v>
      </c>
      <c r="S195" s="81">
        <f t="shared" si="93"/>
        <v>0</v>
      </c>
      <c r="T195" s="81">
        <f t="shared" si="93"/>
        <v>0</v>
      </c>
      <c r="U195" s="81">
        <f t="shared" si="93"/>
        <v>0</v>
      </c>
      <c r="V195" s="81">
        <f t="shared" si="93"/>
        <v>0</v>
      </c>
      <c r="W195" s="81">
        <f t="shared" si="93"/>
        <v>0</v>
      </c>
      <c r="X195" s="81">
        <f t="shared" si="93"/>
        <v>0</v>
      </c>
    </row>
    <row r="196" spans="1:24" x14ac:dyDescent="0.2">
      <c r="A196" s="27" t="s">
        <v>617</v>
      </c>
      <c r="B196" s="36"/>
      <c r="C196" s="69"/>
      <c r="D196" s="71">
        <f t="shared" ref="D196:X196" si="94">SUM(D$189,D$190,D$193,D$195)-SUM(D$191,D$192,D$194)</f>
        <v>6.0110000000000001</v>
      </c>
      <c r="E196" s="71">
        <f t="shared" si="94"/>
        <v>6.7409999999999997</v>
      </c>
      <c r="F196" s="71">
        <f t="shared" si="94"/>
        <v>6.5529999999999999</v>
      </c>
      <c r="G196" s="71">
        <f t="shared" si="94"/>
        <v>6.7899999999999974</v>
      </c>
      <c r="H196" s="71">
        <f t="shared" si="94"/>
        <v>7.4599999999999973</v>
      </c>
      <c r="I196" s="71">
        <f t="shared" si="94"/>
        <v>8.2909999999999968</v>
      </c>
      <c r="J196" s="128">
        <f t="shared" si="94"/>
        <v>8.5279999999999969</v>
      </c>
      <c r="K196" s="128">
        <f t="shared" si="94"/>
        <v>8.9889999999999954</v>
      </c>
      <c r="L196" s="128">
        <f t="shared" si="94"/>
        <v>9.4499999999999957</v>
      </c>
      <c r="M196" s="128">
        <f t="shared" si="94"/>
        <v>9.9279999999999955</v>
      </c>
      <c r="N196" s="128">
        <f t="shared" si="94"/>
        <v>10.417999999999996</v>
      </c>
      <c r="O196" s="75">
        <f t="shared" si="94"/>
        <v>10.81134561991383</v>
      </c>
      <c r="P196" s="75">
        <f t="shared" si="94"/>
        <v>11.172342269028238</v>
      </c>
      <c r="Q196" s="75">
        <f t="shared" si="94"/>
        <v>11.510200574437523</v>
      </c>
      <c r="R196" s="75">
        <f t="shared" si="94"/>
        <v>11.83304691239827</v>
      </c>
      <c r="S196" s="75">
        <f t="shared" si="94"/>
        <v>12.150912876974623</v>
      </c>
      <c r="T196" s="75">
        <f t="shared" si="94"/>
        <v>12.463819530876011</v>
      </c>
      <c r="U196" s="75">
        <f t="shared" si="94"/>
        <v>12.774745811393004</v>
      </c>
      <c r="V196" s="75">
        <f t="shared" si="94"/>
        <v>13.081702249880319</v>
      </c>
      <c r="W196" s="75">
        <f t="shared" si="94"/>
        <v>13.407467687888936</v>
      </c>
      <c r="X196" s="75">
        <f t="shared" si="94"/>
        <v>13.75081043561512</v>
      </c>
    </row>
    <row r="197" spans="1:24" x14ac:dyDescent="0.2">
      <c r="A197" s="26"/>
      <c r="B197" s="42"/>
      <c r="C197" s="69"/>
      <c r="D197" s="11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 s="106" t="s">
        <v>650</v>
      </c>
      <c r="B198" s="41"/>
      <c r="C198" s="69"/>
      <c r="D198" s="6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">
      <c r="A199" s="27" t="s">
        <v>980</v>
      </c>
      <c r="B199" s="226"/>
      <c r="C199" s="69"/>
      <c r="D199" s="71">
        <f>Data!C$113</f>
        <v>26.213000000000001</v>
      </c>
      <c r="E199" s="71">
        <f>Data!D$113</f>
        <v>28.637</v>
      </c>
      <c r="F199" s="71">
        <f>Data!E$113</f>
        <v>30.486999999999998</v>
      </c>
      <c r="G199" s="71">
        <f>Data!F$113</f>
        <v>29.986000000000001</v>
      </c>
      <c r="H199" s="71">
        <f>Data!G$113</f>
        <v>29.548999999999999</v>
      </c>
      <c r="I199" s="71">
        <f>Data!H$113</f>
        <v>29.376999999999999</v>
      </c>
      <c r="J199" s="128">
        <f ca="1">Data!I$113 +IF(OFFSET(Scenarios!$A$84,0,$C$1)="Yes",J$204,0) + IF($L$1="Yes",J$358,0)</f>
        <v>29.561</v>
      </c>
      <c r="K199" s="128">
        <f ca="1">Data!J$113 +IF(OFFSET(Scenarios!$A$84,0,$C$1)="Yes",K$204,0) + IF($L$1="Yes",K$358,0)</f>
        <v>30.565000000000001</v>
      </c>
      <c r="L199" s="128">
        <f ca="1">Data!K$113 +IF(OFFSET(Scenarios!$A$84,0,$C$1)="Yes",L$204,0) + IF($L$1="Yes",L$358,0)</f>
        <v>31.369</v>
      </c>
      <c r="M199" s="128">
        <f ca="1">Data!L$113 +IF(OFFSET(Scenarios!$A$84,0,$C$1)="Yes",M$204,0) + IF($L$1="Yes",M$358,0)</f>
        <v>31.036000000000001</v>
      </c>
      <c r="N199" s="128">
        <f ca="1">Data!M$113 +IF(OFFSET(Scenarios!$A$84,0,$C$1)="Yes",N$204,0) + IF($L$1="Yes",N$358,0)</f>
        <v>30.966000000000001</v>
      </c>
      <c r="O199" s="42">
        <f ca="1">N$199 +(O$52-N$52)-(O$116-N$116) +IF(OFFSET(Scenarios!$A$84,0,$C$1)="Yes",(O$204-N$204),0)</f>
        <v>31.068503404951375</v>
      </c>
      <c r="P199" s="42">
        <f ca="1">O$199 +(P$52-O$52)-(P$116-O$116) +IF(OFFSET(Scenarios!$A$84,0,$C$1)="Yes",(P$204-O$204),0)</f>
        <v>31.129893168592389</v>
      </c>
      <c r="Q199" s="42">
        <f ca="1">P$199 +(Q$52-P$52)-(Q$116-P$116) +IF(OFFSET(Scenarios!$A$84,0,$C$1)="Yes",(Q$204-P$204),0)</f>
        <v>31.195688593592735</v>
      </c>
      <c r="R199" s="42">
        <f ca="1">Q$199 +(R$52-Q$52)-(R$116-Q$116) +IF(OFFSET(Scenarios!$A$84,0,$C$1)="Yes",(R$204-Q$204),0)</f>
        <v>31.264703059032271</v>
      </c>
      <c r="S199" s="42">
        <f ca="1">R$199 +(S$52-R$52)-(S$116-R$116) +IF(OFFSET(Scenarios!$A$84,0,$C$1)="Yes",(S$204-R$204),0)</f>
        <v>31.33647259371989</v>
      </c>
      <c r="T199" s="42">
        <f ca="1">S$199 +(T$52-S$52)-(T$116-S$116) +IF(OFFSET(Scenarios!$A$84,0,$C$1)="Yes",(T$204-S$204),0)</f>
        <v>31.410177543371965</v>
      </c>
      <c r="U199" s="42">
        <f ca="1">T$199 +(U$52-T$52)-(U$116-T$116) +IF(OFFSET(Scenarios!$A$84,0,$C$1)="Yes",(U$204-T$204),0)</f>
        <v>31.485989270841117</v>
      </c>
      <c r="V199" s="42">
        <f ca="1">U$199 +(V$52-U$52)-(V$116-U$116) +IF(OFFSET(Scenarios!$A$84,0,$C$1)="Yes",(V$204-U$204),0)</f>
        <v>31.564724873423486</v>
      </c>
      <c r="W199" s="42">
        <f ca="1">V$199 +(W$52-V$52)-(W$116-V$116) +IF(OFFSET(Scenarios!$A$84,0,$C$1)="Yes",(W$204-V$204),0)</f>
        <v>31.645915176491208</v>
      </c>
      <c r="X199" s="42">
        <f ca="1">W$199 +(X$52-W$52)-(X$116-W$116) +IF(OFFSET(Scenarios!$A$84,0,$C$1)="Yes",(X$204-W$204),0)</f>
        <v>31.729395313223986</v>
      </c>
    </row>
    <row r="200" spans="1:24" x14ac:dyDescent="0.2">
      <c r="A200" s="158" t="s">
        <v>394</v>
      </c>
      <c r="B200" s="69"/>
      <c r="C200" s="69"/>
      <c r="D200" s="173">
        <f>D$201-D$199</f>
        <v>69.384999999999991</v>
      </c>
      <c r="E200" s="173">
        <f t="shared" ref="E200:N200" si="95">E$201-E$199</f>
        <v>74.691999999999993</v>
      </c>
      <c r="F200" s="173">
        <f t="shared" si="95"/>
        <v>79.64800000000001</v>
      </c>
      <c r="G200" s="173">
        <f t="shared" si="95"/>
        <v>83.343999999999994</v>
      </c>
      <c r="H200" s="173">
        <f t="shared" si="95"/>
        <v>85.305000000000007</v>
      </c>
      <c r="I200" s="173">
        <f t="shared" si="95"/>
        <v>79.207000000000008</v>
      </c>
      <c r="J200" s="127">
        <f t="shared" ca="1" si="95"/>
        <v>79.772999999999996</v>
      </c>
      <c r="K200" s="127">
        <f t="shared" ca="1" si="95"/>
        <v>82.061999999999998</v>
      </c>
      <c r="L200" s="127">
        <f t="shared" ca="1" si="95"/>
        <v>83.263999999999996</v>
      </c>
      <c r="M200" s="127">
        <f t="shared" ca="1" si="95"/>
        <v>84.792999999999992</v>
      </c>
      <c r="N200" s="127">
        <f t="shared" ca="1" si="95"/>
        <v>86.450999999999993</v>
      </c>
      <c r="O200" s="81">
        <f ca="1">SUM(N$200,(O$29-O$35)-(N$29-N$35),(O$30-O$36)-(N$30-N$36),(O$15-O$24),-SUM(O$152-O$151,O$154-O$153,(O$164+O$166)-(O$161+O$165),O$186-O$185,O$211-O$210)+SUM(N$152-N$151,N$154-N$153,(N$164+N$166)-(N$161+N$165),N$186-N$185,N$211-N$210))</f>
        <v>89.914702192412946</v>
      </c>
      <c r="P200" s="81">
        <f t="shared" ref="P200:X200" ca="1" si="96">SUM(O$200,(P$29-P$35)-(O$29-O$35),(P$30-P$36)-(O$30-O$36),(P$15-P$24),-SUM(P$152-P$151,P$154-P$153,(P$164+P$166)-(P$161+P$165),P$186-P$185,P$211-P$210)+SUM(O$152-O$151,O$154-O$153,(O$164+O$166)-(O$161+O$165),O$186-O$185,O$211-O$210))</f>
        <v>93.784429148686868</v>
      </c>
      <c r="Q200" s="81">
        <f t="shared" ca="1" si="96"/>
        <v>98.111319014479122</v>
      </c>
      <c r="R200" s="81">
        <f t="shared" ca="1" si="96"/>
        <v>102.63611275723281</v>
      </c>
      <c r="S200" s="81">
        <f t="shared" ca="1" si="96"/>
        <v>107.50953287744386</v>
      </c>
      <c r="T200" s="81">
        <f t="shared" ca="1" si="96"/>
        <v>112.71631271439153</v>
      </c>
      <c r="U200" s="81">
        <f t="shared" ca="1" si="96"/>
        <v>118.25948874721698</v>
      </c>
      <c r="V200" s="81">
        <f t="shared" ca="1" si="96"/>
        <v>124.16939666660113</v>
      </c>
      <c r="W200" s="81">
        <f t="shared" ca="1" si="96"/>
        <v>130.42243332653362</v>
      </c>
      <c r="X200" s="81">
        <f t="shared" ca="1" si="96"/>
        <v>137.04550512802268</v>
      </c>
    </row>
    <row r="201" spans="1:24" x14ac:dyDescent="0.2">
      <c r="A201" s="27" t="s">
        <v>981</v>
      </c>
      <c r="B201" s="226"/>
      <c r="C201" s="69"/>
      <c r="D201" s="71">
        <f>Data!C$65</f>
        <v>95.597999999999999</v>
      </c>
      <c r="E201" s="71">
        <f>Data!D$65</f>
        <v>103.32899999999999</v>
      </c>
      <c r="F201" s="71">
        <f>Data!E$65</f>
        <v>110.13500000000001</v>
      </c>
      <c r="G201" s="71">
        <f>Data!F$65</f>
        <v>113.33</v>
      </c>
      <c r="H201" s="71">
        <f>Data!G$65</f>
        <v>114.854</v>
      </c>
      <c r="I201" s="71">
        <f>Data!H$65</f>
        <v>108.584</v>
      </c>
      <c r="J201" s="128">
        <f ca="1">Data!I$65 +IF(OFFSET(Scenarios!$A$84,0,$C$1)="Yes",J$204,0) + IF($L$1="Yes",J$358,0)</f>
        <v>109.334</v>
      </c>
      <c r="K201" s="128">
        <f ca="1">Data!J$65 +IF(OFFSET(Scenarios!$A$84,0,$C$1)="Yes",K$204,0) + IF($L$1="Yes",K$358,0)</f>
        <v>112.627</v>
      </c>
      <c r="L201" s="128">
        <f ca="1">Data!K$65 +IF(OFFSET(Scenarios!$A$84,0,$C$1)="Yes",L$204,0) + IF($L$1="Yes",L$358,0)</f>
        <v>114.633</v>
      </c>
      <c r="M201" s="128">
        <f ca="1">Data!L$65 +IF(OFFSET(Scenarios!$A$84,0,$C$1)="Yes",M$204,0) + IF($L$1="Yes",M$358,0)</f>
        <v>115.82899999999999</v>
      </c>
      <c r="N201" s="128">
        <f ca="1">Data!M$65 +IF(OFFSET(Scenarios!$A$84,0,$C$1)="Yes",N$204,0) + IF($L$1="Yes",N$358,0)</f>
        <v>117.417</v>
      </c>
      <c r="O201" s="75">
        <f t="shared" ref="O201:X201" ca="1" si="97">SUM(O$199,O$200)</f>
        <v>120.98320559736432</v>
      </c>
      <c r="P201" s="75">
        <f t="shared" ca="1" si="97"/>
        <v>124.91432231727926</v>
      </c>
      <c r="Q201" s="75">
        <f t="shared" ca="1" si="97"/>
        <v>129.30700760807184</v>
      </c>
      <c r="R201" s="75">
        <f t="shared" ca="1" si="97"/>
        <v>133.90081581626509</v>
      </c>
      <c r="S201" s="75">
        <f t="shared" ca="1" si="97"/>
        <v>138.84600547116375</v>
      </c>
      <c r="T201" s="75">
        <f t="shared" ca="1" si="97"/>
        <v>144.12649025776349</v>
      </c>
      <c r="U201" s="75">
        <f t="shared" ca="1" si="97"/>
        <v>149.74547801805809</v>
      </c>
      <c r="V201" s="75">
        <f t="shared" ca="1" si="97"/>
        <v>155.7341215400246</v>
      </c>
      <c r="W201" s="75">
        <f t="shared" ca="1" si="97"/>
        <v>162.06834850302482</v>
      </c>
      <c r="X201" s="75">
        <f t="shared" ca="1" si="97"/>
        <v>168.77490044124667</v>
      </c>
    </row>
    <row r="202" spans="1:24" x14ac:dyDescent="0.2">
      <c r="A202" s="27"/>
      <c r="B202" s="41"/>
      <c r="C202" s="69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x14ac:dyDescent="0.2">
      <c r="A203" s="106" t="s">
        <v>978</v>
      </c>
      <c r="B203" s="77"/>
      <c r="C203" s="69"/>
      <c r="D203" s="71">
        <f t="shared" ref="D203:I203" si="98">D$204-C$204</f>
        <v>0</v>
      </c>
      <c r="E203" s="71">
        <f t="shared" si="98"/>
        <v>0</v>
      </c>
      <c r="F203" s="71">
        <f t="shared" si="98"/>
        <v>0</v>
      </c>
      <c r="G203" s="71">
        <f t="shared" si="98"/>
        <v>0</v>
      </c>
      <c r="H203" s="71">
        <f t="shared" si="98"/>
        <v>0</v>
      </c>
      <c r="I203" s="71">
        <f t="shared" si="98"/>
        <v>0</v>
      </c>
      <c r="J203" s="128">
        <f ca="1">IF(OFFSET(Scenarios!$A$84,0,$C$1)="Yes",0,J$204-I$204)</f>
        <v>-0.27800000000000002</v>
      </c>
      <c r="K203" s="128">
        <f ca="1">IF(OFFSET(Scenarios!$A$84,0,$C$1)="Yes",0,K$204-J$204)</f>
        <v>0.45300000000000001</v>
      </c>
      <c r="L203" s="128">
        <f ca="1">IF(OFFSET(Scenarios!$A$84,0,$C$1)="Yes",0,L$204-K$204)</f>
        <v>0.70699999999999985</v>
      </c>
      <c r="M203" s="128">
        <f ca="1">IF(OFFSET(Scenarios!$A$84,0,$C$1)="Yes",0,M$204-L$204)</f>
        <v>0.85699999999999998</v>
      </c>
      <c r="N203" s="128">
        <f ca="1">IF(OFFSET(Scenarios!$A$84,0,$C$1)="Yes",0,N$204-M$204)</f>
        <v>1</v>
      </c>
      <c r="O203" s="270">
        <f ca="1">IF(OFFSET(Scenarios!$A$84,0,$C$1)="Yes",0,IF(OFFSET(Scenarios!$A$29,0,$C$1)&gt;=O$4,Tracks!S$113,IF(OFFSET(Scenarios!$A$29,0,$C$1)+1=O$4,OFFSET(Scenarios!$A$28,0,$C$1)/5*(1-(1+OFFSET(Scenarios!$A$33,0,$C$1))^5)/-OFFSET(Scenarios!$A$33,0,$C$1),N$203*(1+OFFSET(Scenarios!$A$33,0,$C$1)))))</f>
        <v>1.1780000000000002</v>
      </c>
      <c r="P203" s="270">
        <f ca="1">IF(OFFSET(Scenarios!$A$84,0,$C$1)="Yes",0,IF(OFFSET(Scenarios!$A$29,0,$C$1)&gt;=P$4,Tracks!T$113,IF(OFFSET(Scenarios!$A$29,0,$C$1)+1=P$4,OFFSET(Scenarios!$A$28,0,$C$1)/5*(1-(1+OFFSET(Scenarios!$A$33,0,$C$1))^5)/-OFFSET(Scenarios!$A$33,0,$C$1),O$203*(1+OFFSET(Scenarios!$A$33,0,$C$1)))))</f>
        <v>1.0730000000000002</v>
      </c>
      <c r="Q203" s="270">
        <f ca="1">IF(OFFSET(Scenarios!$A$84,0,$C$1)="Yes",0,IF(OFFSET(Scenarios!$A$29,0,$C$1)&gt;=Q$4,Tracks!U$113,IF(OFFSET(Scenarios!$A$29,0,$C$1)+1=Q$4,OFFSET(Scenarios!$A$28,0,$C$1)/5*(1-(1+OFFSET(Scenarios!$A$33,0,$C$1))^5)/-OFFSET(Scenarios!$A$33,0,$C$1),P$203*(1+OFFSET(Scenarios!$A$33,0,$C$1)))))</f>
        <v>1.022</v>
      </c>
      <c r="R203" s="270">
        <f ca="1">IF(OFFSET(Scenarios!$A$84,0,$C$1)="Yes",0,IF(OFFSET(Scenarios!$A$29,0,$C$1)&gt;=R$4,Tracks!V$113,IF(OFFSET(Scenarios!$A$29,0,$C$1)+1=R$4,OFFSET(Scenarios!$A$28,0,$C$1)/5*(1-(1+OFFSET(Scenarios!$A$33,0,$C$1))^5)/-OFFSET(Scenarios!$A$33,0,$C$1),Q$203*(1+OFFSET(Scenarios!$A$33,0,$C$1)))))</f>
        <v>0.79</v>
      </c>
      <c r="S203" s="270">
        <f ca="1">IF(OFFSET(Scenarios!$A$84,0,$C$1)="Yes",0,IF(OFFSET(Scenarios!$A$29,0,$C$1)&gt;=S$4,Tracks!W$113,IF(OFFSET(Scenarios!$A$29,0,$C$1)+1=S$4,OFFSET(Scenarios!$A$28,0,$C$1)/5*(1-(1+OFFSET(Scenarios!$A$33,0,$C$1))^5)/-OFFSET(Scenarios!$A$33,0,$C$1),R$203*(1+OFFSET(Scenarios!$A$33,0,$C$1)))))</f>
        <v>0.97419631795200023</v>
      </c>
      <c r="T203" s="270">
        <f ca="1">IF(OFFSET(Scenarios!$A$84,0,$C$1)="Yes",0,IF(OFFSET(Scenarios!$A$29,0,$C$1)&gt;=T$4,Tracks!X$113,IF(OFFSET(Scenarios!$A$29,0,$C$1)+1=T$4,OFFSET(Scenarios!$A$28,0,$C$1)/5*(1-(1+OFFSET(Scenarios!$A$33,0,$C$1))^5)/-OFFSET(Scenarios!$A$33,0,$C$1),S$203*(1+OFFSET(Scenarios!$A$33,0,$C$1)))))</f>
        <v>0.99368024431104029</v>
      </c>
      <c r="U203" s="270">
        <f ca="1">IF(OFFSET(Scenarios!$A$84,0,$C$1)="Yes",0,IF(OFFSET(Scenarios!$A$29,0,$C$1)&gt;=U$4,Tracks!Y$113,IF(OFFSET(Scenarios!$A$29,0,$C$1)+1=U$4,OFFSET(Scenarios!$A$28,0,$C$1)/5*(1-(1+OFFSET(Scenarios!$A$33,0,$C$1))^5)/-OFFSET(Scenarios!$A$33,0,$C$1),T$203*(1+OFFSET(Scenarios!$A$33,0,$C$1)))))</f>
        <v>1.0135538491972611</v>
      </c>
      <c r="V203" s="270">
        <f ca="1">IF(OFFSET(Scenarios!$A$84,0,$C$1)="Yes",0,IF(OFFSET(Scenarios!$A$29,0,$C$1)&gt;=V$4,Tracks!Z$113,IF(OFFSET(Scenarios!$A$29,0,$C$1)+1=V$4,OFFSET(Scenarios!$A$28,0,$C$1)/5*(1-(1+OFFSET(Scenarios!$A$33,0,$C$1))^5)/-OFFSET(Scenarios!$A$33,0,$C$1),U$203*(1+OFFSET(Scenarios!$A$33,0,$C$1)))))</f>
        <v>1.0338249261812062</v>
      </c>
      <c r="W203" s="270">
        <f ca="1">IF(OFFSET(Scenarios!$A$84,0,$C$1)="Yes",0,IF(OFFSET(Scenarios!$A$29,0,$C$1)&gt;=W$4,Tracks!AA$113,IF(OFFSET(Scenarios!$A$29,0,$C$1)+1=W$4,OFFSET(Scenarios!$A$28,0,$C$1)/5*(1-(1+OFFSET(Scenarios!$A$33,0,$C$1))^5)/-OFFSET(Scenarios!$A$33,0,$C$1),V$203*(1+OFFSET(Scenarios!$A$33,0,$C$1)))))</f>
        <v>1.0545014247048303</v>
      </c>
      <c r="X203" s="270">
        <f ca="1">IF(OFFSET(Scenarios!$A$84,0,$C$1)="Yes",0,IF(OFFSET(Scenarios!$A$29,0,$C$1)&gt;=X$4,Tracks!AB$113,IF(OFFSET(Scenarios!$A$29,0,$C$1)+1=X$4,OFFSET(Scenarios!$A$28,0,$C$1)/5*(1-(1+OFFSET(Scenarios!$A$33,0,$C$1))^5)/-OFFSET(Scenarios!$A$33,0,$C$1),W$203*(1+OFFSET(Scenarios!$A$33,0,$C$1)))))</f>
        <v>1.075591453198927</v>
      </c>
    </row>
    <row r="204" spans="1:24" x14ac:dyDescent="0.2">
      <c r="A204" s="220" t="s">
        <v>979</v>
      </c>
      <c r="B204" s="226"/>
      <c r="C204" s="69"/>
      <c r="D204" s="69">
        <f>SUM(Data!C$68:C$69)</f>
        <v>0</v>
      </c>
      <c r="E204" s="69">
        <f>SUM(Data!D$68:D$69)</f>
        <v>0</v>
      </c>
      <c r="F204" s="69">
        <f>SUM(Data!E$68:E$69)</f>
        <v>0</v>
      </c>
      <c r="G204" s="69">
        <f>SUM(Data!F$68:F$69)</f>
        <v>0</v>
      </c>
      <c r="H204" s="69">
        <f>SUM(Data!G$68:G$69)</f>
        <v>0</v>
      </c>
      <c r="I204" s="69">
        <f>SUM(Data!H$68:H$69)</f>
        <v>0</v>
      </c>
      <c r="J204" s="103">
        <f>SUM(Data!I$68:I$69) + IF($I$1="Yes",J$325,0)</f>
        <v>-0.27800000000000002</v>
      </c>
      <c r="K204" s="103">
        <f>SUM(Data!J$68:J$69) + IF($I$1="Yes",K$325,0)</f>
        <v>0.17499999999999999</v>
      </c>
      <c r="L204" s="103">
        <f>SUM(Data!K$68:K$69) + IF($I$1="Yes",L$325,0)</f>
        <v>0.8819999999999999</v>
      </c>
      <c r="M204" s="103">
        <f>SUM(Data!L$68:L$69) + IF($I$1="Yes",M$325,0)</f>
        <v>1.7389999999999999</v>
      </c>
      <c r="N204" s="103">
        <f>SUM(Data!M$68:M$69) + IF($I$1="Yes",N$325,0)</f>
        <v>2.7389999999999999</v>
      </c>
      <c r="O204" s="98">
        <f ca="1">N$204+IF(OFFSET(Scenarios!$A$29,0,$C$1)&gt;=O$4,Tracks!S$113,IF(OFFSET(Scenarios!$A$29,0,$C$1)+1=O$4,OFFSET(Scenarios!$A$28,0,$C$1)/5*(1-(1+OFFSET(Scenarios!$A$33,0,$C$1))^5)/-OFFSET(Scenarios!$A$33,0,$C$1),(N$204-M$204)*(1+OFFSET(Scenarios!$A$33,0,$C$1))))</f>
        <v>3.9169999999999998</v>
      </c>
      <c r="P204" s="98">
        <f ca="1">O$204+IF(OFFSET(Scenarios!$A$29,0,$C$1)&gt;=P$4,Tracks!T$113,IF(OFFSET(Scenarios!$A$29,0,$C$1)+1=P$4,OFFSET(Scenarios!$A$28,0,$C$1)/5*(1-(1+OFFSET(Scenarios!$A$33,0,$C$1))^5)/-OFFSET(Scenarios!$A$33,0,$C$1),(O$204-N$204)*(1+OFFSET(Scenarios!$A$33,0,$C$1))))</f>
        <v>4.99</v>
      </c>
      <c r="Q204" s="98">
        <f ca="1">P$204+IF(OFFSET(Scenarios!$A$29,0,$C$1)&gt;=Q$4,Tracks!U$113,IF(OFFSET(Scenarios!$A$29,0,$C$1)+1=Q$4,OFFSET(Scenarios!$A$28,0,$C$1)/5*(1-(1+OFFSET(Scenarios!$A$33,0,$C$1))^5)/-OFFSET(Scenarios!$A$33,0,$C$1),(P$204-O$204)*(1+OFFSET(Scenarios!$A$33,0,$C$1))))</f>
        <v>6.0120000000000005</v>
      </c>
      <c r="R204" s="98">
        <f ca="1">Q$204+IF(OFFSET(Scenarios!$A$29,0,$C$1)&gt;=R$4,Tracks!V$113,IF(OFFSET(Scenarios!$A$29,0,$C$1)+1=R$4,OFFSET(Scenarios!$A$28,0,$C$1)/5*(1-(1+OFFSET(Scenarios!$A$33,0,$C$1))^5)/-OFFSET(Scenarios!$A$33,0,$C$1),(Q$204-P$204)*(1+OFFSET(Scenarios!$A$33,0,$C$1))))</f>
        <v>6.8020000000000005</v>
      </c>
      <c r="S204" s="98">
        <f ca="1">R$204+IF(OFFSET(Scenarios!$A$29,0,$C$1)&gt;=S$4,Tracks!W$113,IF(OFFSET(Scenarios!$A$29,0,$C$1)+1=S$4,OFFSET(Scenarios!$A$28,0,$C$1)/5*(1-(1+OFFSET(Scenarios!$A$33,0,$C$1))^5)/-OFFSET(Scenarios!$A$33,0,$C$1),(R$204-Q$204)*(1+OFFSET(Scenarios!$A$33,0,$C$1))))</f>
        <v>7.7761963179520004</v>
      </c>
      <c r="T204" s="98">
        <f ca="1">S$204+IF(OFFSET(Scenarios!$A$29,0,$C$1)&gt;=T$4,Tracks!X$113,IF(OFFSET(Scenarios!$A$29,0,$C$1)+1=T$4,OFFSET(Scenarios!$A$28,0,$C$1)/5*(1-(1+OFFSET(Scenarios!$A$33,0,$C$1))^5)/-OFFSET(Scenarios!$A$33,0,$C$1),(S$204-R$204)*(1+OFFSET(Scenarios!$A$33,0,$C$1))))</f>
        <v>8.7698765622630397</v>
      </c>
      <c r="U204" s="98">
        <f ca="1">T$204+IF(OFFSET(Scenarios!$A$29,0,$C$1)&gt;=U$4,Tracks!Y$113,IF(OFFSET(Scenarios!$A$29,0,$C$1)+1=U$4,OFFSET(Scenarios!$A$28,0,$C$1)/5*(1-(1+OFFSET(Scenarios!$A$33,0,$C$1))^5)/-OFFSET(Scenarios!$A$33,0,$C$1),(T$204-S$204)*(1+OFFSET(Scenarios!$A$33,0,$C$1))))</f>
        <v>9.7834304114602997</v>
      </c>
      <c r="V204" s="98">
        <f ca="1">U$204+IF(OFFSET(Scenarios!$A$29,0,$C$1)&gt;=V$4,Tracks!Z$113,IF(OFFSET(Scenarios!$A$29,0,$C$1)+1=V$4,OFFSET(Scenarios!$A$28,0,$C$1)/5*(1-(1+OFFSET(Scenarios!$A$33,0,$C$1))^5)/-OFFSET(Scenarios!$A$33,0,$C$1),(U$204-T$204)*(1+OFFSET(Scenarios!$A$33,0,$C$1))))</f>
        <v>10.817255337641505</v>
      </c>
      <c r="W204" s="98">
        <f ca="1">V$204+IF(OFFSET(Scenarios!$A$29,0,$C$1)&gt;=W$4,Tracks!AA$113,IF(OFFSET(Scenarios!$A$29,0,$C$1)+1=W$4,OFFSET(Scenarios!$A$28,0,$C$1)/5*(1-(1+OFFSET(Scenarios!$A$33,0,$C$1))^5)/-OFFSET(Scenarios!$A$33,0,$C$1),(V$204-U$204)*(1+OFFSET(Scenarios!$A$33,0,$C$1))))</f>
        <v>11.871756762346335</v>
      </c>
      <c r="X204" s="98">
        <f ca="1">W$204+IF(OFFSET(Scenarios!$A$29,0,$C$1)&gt;=X$4,Tracks!AB$113,IF(OFFSET(Scenarios!$A$29,0,$C$1)+1=X$4,OFFSET(Scenarios!$A$28,0,$C$1)/5*(1-(1+OFFSET(Scenarios!$A$33,0,$C$1))^5)/-OFFSET(Scenarios!$A$33,0,$C$1),(W$204-V$204)*(1+OFFSET(Scenarios!$A$33,0,$C$1))))</f>
        <v>12.947348215545261</v>
      </c>
    </row>
    <row r="205" spans="1:24" x14ac:dyDescent="0.2">
      <c r="A205" s="27"/>
      <c r="B205" s="77"/>
      <c r="C205" s="69"/>
      <c r="D205" s="99"/>
      <c r="E205" s="99"/>
      <c r="F205" s="99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</row>
    <row r="206" spans="1:24" x14ac:dyDescent="0.2">
      <c r="A206" s="106" t="s">
        <v>651</v>
      </c>
      <c r="B206" s="77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 s="157" t="s">
        <v>308</v>
      </c>
      <c r="B207" s="226"/>
      <c r="C207" s="69"/>
      <c r="D207" s="69">
        <f>Data!C$114</f>
        <v>25.048999999999999</v>
      </c>
      <c r="E207" s="69">
        <f>Data!D$114</f>
        <v>25.696000000000002</v>
      </c>
      <c r="F207" s="69">
        <f>Data!E$114</f>
        <v>27.536000000000001</v>
      </c>
      <c r="G207" s="69">
        <f>Data!F$114</f>
        <v>28.663</v>
      </c>
      <c r="H207" s="69">
        <f>Data!G$114</f>
        <v>30.093</v>
      </c>
      <c r="I207" s="69">
        <f>Data!H$114</f>
        <v>31.308</v>
      </c>
      <c r="J207" s="103">
        <f>Data!I$114</f>
        <v>32.634999999999998</v>
      </c>
      <c r="K207" s="103">
        <f>Data!J$114</f>
        <v>33.609000000000002</v>
      </c>
      <c r="L207" s="103">
        <f>Data!K$114</f>
        <v>34.631</v>
      </c>
      <c r="M207" s="103">
        <f>Data!L$114</f>
        <v>35.923999999999999</v>
      </c>
      <c r="N207" s="103">
        <f>Data!M$114</f>
        <v>37.369999999999997</v>
      </c>
      <c r="O207" s="73">
        <f t="shared" ref="O207:X207" ca="1" si="99">N$207*(1+O$247)</f>
        <v>38.131678864908068</v>
      </c>
      <c r="P207" s="73">
        <f t="shared" ca="1" si="99"/>
        <v>38.894312442206228</v>
      </c>
      <c r="Q207" s="73">
        <f t="shared" ca="1" si="99"/>
        <v>39.672198691050355</v>
      </c>
      <c r="R207" s="73">
        <f t="shared" ca="1" si="99"/>
        <v>40.465642664871361</v>
      </c>
      <c r="S207" s="73">
        <f t="shared" ca="1" si="99"/>
        <v>41.274955518168788</v>
      </c>
      <c r="T207" s="73">
        <f t="shared" ca="1" si="99"/>
        <v>42.100454628532162</v>
      </c>
      <c r="U207" s="73">
        <f t="shared" ca="1" si="99"/>
        <v>42.942463721102804</v>
      </c>
      <c r="V207" s="73">
        <f t="shared" ca="1" si="99"/>
        <v>43.80131299552486</v>
      </c>
      <c r="W207" s="73">
        <f t="shared" ca="1" si="99"/>
        <v>44.677339255435356</v>
      </c>
      <c r="X207" s="73">
        <f t="shared" ca="1" si="99"/>
        <v>45.570886040544067</v>
      </c>
    </row>
    <row r="208" spans="1:24" x14ac:dyDescent="0.2">
      <c r="A208" s="157" t="s">
        <v>537</v>
      </c>
      <c r="B208" s="226"/>
      <c r="C208" s="69"/>
      <c r="D208" s="69">
        <f>Data!C$115</f>
        <v>0.80400000000000005</v>
      </c>
      <c r="E208" s="69">
        <f>Data!D$115</f>
        <v>0.84499999999999997</v>
      </c>
      <c r="F208" s="69">
        <f>Data!E$115</f>
        <v>1.135</v>
      </c>
      <c r="G208" s="69">
        <f>Data!F$115</f>
        <v>1.1220000000000001</v>
      </c>
      <c r="H208" s="69">
        <f>Data!G$115</f>
        <v>1.157</v>
      </c>
      <c r="I208" s="69">
        <f>Data!H$115</f>
        <v>1.111</v>
      </c>
      <c r="J208" s="103">
        <f>Data!I$115</f>
        <v>1.071</v>
      </c>
      <c r="K208" s="103">
        <f>Data!J$115</f>
        <v>1.175</v>
      </c>
      <c r="L208" s="103">
        <f>Data!K$115</f>
        <v>1.1930000000000001</v>
      </c>
      <c r="M208" s="103">
        <f>Data!L$115</f>
        <v>1.1859999999999999</v>
      </c>
      <c r="N208" s="103">
        <f>Data!M$115</f>
        <v>1.165</v>
      </c>
      <c r="O208" s="73">
        <f t="shared" ref="O208:X208" ca="1" si="100">N$208*(1+O$247)</f>
        <v>1.1887451398880895</v>
      </c>
      <c r="P208" s="73">
        <f t="shared" ca="1" si="100"/>
        <v>1.2125200426858513</v>
      </c>
      <c r="Q208" s="73">
        <f t="shared" ca="1" si="100"/>
        <v>1.2367704435395683</v>
      </c>
      <c r="R208" s="73">
        <f t="shared" ca="1" si="100"/>
        <v>1.2615058524103597</v>
      </c>
      <c r="S208" s="73">
        <f t="shared" ca="1" si="100"/>
        <v>1.2867359694585669</v>
      </c>
      <c r="T208" s="73">
        <f t="shared" ca="1" si="100"/>
        <v>1.3124706888477382</v>
      </c>
      <c r="U208" s="73">
        <f t="shared" ca="1" si="100"/>
        <v>1.3387201026246931</v>
      </c>
      <c r="V208" s="73">
        <f t="shared" ca="1" si="100"/>
        <v>1.3654945046771869</v>
      </c>
      <c r="W208" s="73">
        <f t="shared" ca="1" si="100"/>
        <v>1.3928043947707307</v>
      </c>
      <c r="X208" s="73">
        <f t="shared" ca="1" si="100"/>
        <v>1.4206604826661453</v>
      </c>
    </row>
    <row r="209" spans="1:24" x14ac:dyDescent="0.2">
      <c r="A209" s="157" t="s">
        <v>851</v>
      </c>
      <c r="B209" s="226"/>
      <c r="C209" s="69"/>
      <c r="D209" s="173">
        <f>Data!C$116</f>
        <v>1.0620000000000001</v>
      </c>
      <c r="E209" s="173">
        <f>Data!D$116</f>
        <v>1.375</v>
      </c>
      <c r="F209" s="173">
        <f>Data!E$116</f>
        <v>1.429</v>
      </c>
      <c r="G209" s="173">
        <f>Data!F$116</f>
        <v>1.4630000000000001</v>
      </c>
      <c r="H209" s="173">
        <f>Data!G$116</f>
        <v>1.6910000000000001</v>
      </c>
      <c r="I209" s="173">
        <f>Data!H$116</f>
        <v>1.6319999999999999</v>
      </c>
      <c r="J209" s="127">
        <f>Data!I$116</f>
        <v>1.5489999999999999</v>
      </c>
      <c r="K209" s="127">
        <f>Data!J$116</f>
        <v>1.6919999999999999</v>
      </c>
      <c r="L209" s="127">
        <f>Data!K$116</f>
        <v>1.52</v>
      </c>
      <c r="M209" s="127">
        <f>Data!L$116</f>
        <v>1.5369999999999999</v>
      </c>
      <c r="N209" s="127">
        <f>Data!M$116</f>
        <v>1.5329999999999999</v>
      </c>
      <c r="O209" s="81">
        <f t="shared" ref="O209:X209" ca="1" si="101">N$209*(1+O$247)</f>
        <v>1.5642457505995202</v>
      </c>
      <c r="P209" s="81">
        <f t="shared" ca="1" si="101"/>
        <v>1.5955306656115107</v>
      </c>
      <c r="Q209" s="81">
        <f t="shared" ca="1" si="101"/>
        <v>1.6274412789237409</v>
      </c>
      <c r="R209" s="81">
        <f t="shared" ca="1" si="101"/>
        <v>1.6599901045022158</v>
      </c>
      <c r="S209" s="81">
        <f t="shared" ca="1" si="101"/>
        <v>1.6931899065922602</v>
      </c>
      <c r="T209" s="81">
        <f t="shared" ca="1" si="101"/>
        <v>1.7270537047241055</v>
      </c>
      <c r="U209" s="81">
        <f t="shared" ca="1" si="101"/>
        <v>1.7615947788185875</v>
      </c>
      <c r="V209" s="81">
        <f t="shared" ca="1" si="101"/>
        <v>1.7968266743949592</v>
      </c>
      <c r="W209" s="81">
        <f t="shared" ca="1" si="101"/>
        <v>1.8327632078828584</v>
      </c>
      <c r="X209" s="81">
        <f t="shared" ca="1" si="101"/>
        <v>1.8694184720405156</v>
      </c>
    </row>
    <row r="210" spans="1:24" x14ac:dyDescent="0.2">
      <c r="A210" s="27" t="s">
        <v>395</v>
      </c>
      <c r="B210" s="77"/>
      <c r="C210" s="69"/>
      <c r="D210" s="71">
        <f t="shared" ref="D210:X210" si="102">SUM(D$207:D$209)</f>
        <v>26.914999999999999</v>
      </c>
      <c r="E210" s="71">
        <f t="shared" si="102"/>
        <v>27.916</v>
      </c>
      <c r="F210" s="71">
        <f t="shared" si="102"/>
        <v>30.1</v>
      </c>
      <c r="G210" s="71">
        <f t="shared" si="102"/>
        <v>31.248000000000001</v>
      </c>
      <c r="H210" s="71">
        <f t="shared" si="102"/>
        <v>32.941000000000003</v>
      </c>
      <c r="I210" s="71">
        <f t="shared" si="102"/>
        <v>34.050999999999995</v>
      </c>
      <c r="J210" s="128">
        <f t="shared" si="102"/>
        <v>35.254999999999995</v>
      </c>
      <c r="K210" s="128">
        <f t="shared" si="102"/>
        <v>36.475999999999999</v>
      </c>
      <c r="L210" s="128">
        <f t="shared" si="102"/>
        <v>37.344000000000001</v>
      </c>
      <c r="M210" s="128">
        <f t="shared" si="102"/>
        <v>38.646999999999998</v>
      </c>
      <c r="N210" s="128">
        <f t="shared" si="102"/>
        <v>40.067999999999998</v>
      </c>
      <c r="O210" s="75">
        <f t="shared" ca="1" si="102"/>
        <v>40.884669755395677</v>
      </c>
      <c r="P210" s="75">
        <f t="shared" ca="1" si="102"/>
        <v>41.702363150503594</v>
      </c>
      <c r="Q210" s="75">
        <f t="shared" ca="1" si="102"/>
        <v>42.536410413513664</v>
      </c>
      <c r="R210" s="75">
        <f t="shared" ca="1" si="102"/>
        <v>43.387138621783933</v>
      </c>
      <c r="S210" s="75">
        <f t="shared" ca="1" si="102"/>
        <v>44.254881394219616</v>
      </c>
      <c r="T210" s="75">
        <f t="shared" ca="1" si="102"/>
        <v>45.139979022104008</v>
      </c>
      <c r="U210" s="75">
        <f t="shared" ca="1" si="102"/>
        <v>46.042778602546086</v>
      </c>
      <c r="V210" s="75">
        <f t="shared" ca="1" si="102"/>
        <v>46.963634174597004</v>
      </c>
      <c r="W210" s="75">
        <f t="shared" ca="1" si="102"/>
        <v>47.90290685808894</v>
      </c>
      <c r="X210" s="75">
        <f t="shared" ca="1" si="102"/>
        <v>48.860964995250725</v>
      </c>
    </row>
    <row r="211" spans="1:24" x14ac:dyDescent="0.2">
      <c r="A211" s="27" t="s">
        <v>396</v>
      </c>
      <c r="B211" s="226"/>
      <c r="C211" s="69"/>
      <c r="D211" s="71">
        <f>SUM(Data!C$63:C$64,Data!C$66:C$67)</f>
        <v>11.030999999999999</v>
      </c>
      <c r="E211" s="71">
        <f>SUM(Data!D$63:D$64,Data!D$66:D$67)</f>
        <v>12.443</v>
      </c>
      <c r="F211" s="71">
        <f>SUM(Data!E$63:E$64,Data!E$66:E$67)</f>
        <v>13.657</v>
      </c>
      <c r="G211" s="71">
        <f>SUM(Data!F$63:F$64,Data!F$66:F$67)</f>
        <v>14.053999999999998</v>
      </c>
      <c r="H211" s="71">
        <f>SUM(Data!G$63:G$64,Data!G$66:G$67)</f>
        <v>14.999000000000001</v>
      </c>
      <c r="I211" s="71">
        <f>SUM(Data!H$63:H$64,Data!H$66:H$67)</f>
        <v>15.556000000000001</v>
      </c>
      <c r="J211" s="128">
        <f>SUM(Data!I$63:I$64,Data!I$66:I$67)</f>
        <v>15.508000000000001</v>
      </c>
      <c r="K211" s="128">
        <f>SUM(Data!J$63:J$64,Data!J$66:J$67)</f>
        <v>15.860999999999999</v>
      </c>
      <c r="L211" s="128">
        <f>SUM(Data!K$63:K$64,Data!K$66:K$67)</f>
        <v>15.879999999999999</v>
      </c>
      <c r="M211" s="128">
        <f>SUM(Data!L$63:L$64,Data!L$66:L$67)</f>
        <v>16.015000000000001</v>
      </c>
      <c r="N211" s="128">
        <f>SUM(Data!M$63:M$64,Data!M$66:M$67)</f>
        <v>16.117000000000001</v>
      </c>
      <c r="O211" s="75">
        <f t="shared" ref="O211:X211" ca="1" si="103">N$211*(1+O$247)</f>
        <v>16.445498214228618</v>
      </c>
      <c r="P211" s="75">
        <f t="shared" ca="1" si="103"/>
        <v>16.774408178513191</v>
      </c>
      <c r="Q211" s="75">
        <f t="shared" ca="1" si="103"/>
        <v>17.109896342083456</v>
      </c>
      <c r="R211" s="75">
        <f t="shared" ca="1" si="103"/>
        <v>17.452094268925126</v>
      </c>
      <c r="S211" s="75">
        <f t="shared" ca="1" si="103"/>
        <v>17.801136154303631</v>
      </c>
      <c r="T211" s="75">
        <f t="shared" ca="1" si="103"/>
        <v>18.157158877389705</v>
      </c>
      <c r="U211" s="75">
        <f t="shared" ca="1" si="103"/>
        <v>18.520302054937499</v>
      </c>
      <c r="V211" s="75">
        <f t="shared" ca="1" si="103"/>
        <v>18.890708096036249</v>
      </c>
      <c r="W211" s="75">
        <f t="shared" ca="1" si="103"/>
        <v>19.268522257956974</v>
      </c>
      <c r="X211" s="75">
        <f t="shared" ca="1" si="103"/>
        <v>19.653892703116114</v>
      </c>
    </row>
    <row r="212" spans="1:24" x14ac:dyDescent="0.2">
      <c r="A212" s="220" t="s">
        <v>682</v>
      </c>
      <c r="B212" s="226"/>
      <c r="C212" s="69"/>
      <c r="D212" s="274">
        <f>SUM(D$151,D$161,D$185)-Data!C$88</f>
        <v>0.22300000000000608</v>
      </c>
      <c r="E212" s="274">
        <f>SUM(E$151,E$161,E$185)-Data!D$88</f>
        <v>-0.10000000000000142</v>
      </c>
      <c r="F212" s="274">
        <f>SUM(F$151,F$161,F$185)-Data!E$88</f>
        <v>-0.39900000000000091</v>
      </c>
      <c r="G212" s="274">
        <f>SUM(G$151,G$161,G$185)-Data!F$88</f>
        <v>-4.0000000000048885E-3</v>
      </c>
      <c r="H212" s="274">
        <f>SUM(H$151,H$161,H$185)-Data!G$88</f>
        <v>-0.30100000000000193</v>
      </c>
      <c r="I212" s="274">
        <f>SUM(I$151,I$161,I$185)-Data!H$88</f>
        <v>-9.9999999999909051E-3</v>
      </c>
      <c r="J212" s="153">
        <f>SUM(J$151,J$161,J$185)-Data!I$88- IF($I$1="Yes",J$322,0)- IF($L$1="Yes",J$357,0)</f>
        <v>-9.9999999999766942E-4</v>
      </c>
      <c r="K212" s="153">
        <f>SUM(K$151,K$161,K$185)-Data!J$88- IF($I$1="Yes",K$322,0)- IF($L$1="Yes",K$357,0)</f>
        <v>-1.0000000000047748E-3</v>
      </c>
      <c r="L212" s="153">
        <f>SUM(L$151,L$161,L$185)-Data!K$88- IF($I$1="Yes",L$322,0)- IF($L$1="Yes",L$357,0)</f>
        <v>-2.0000000000024443E-3</v>
      </c>
      <c r="M212" s="153">
        <f>SUM(M$151,M$161,M$185)-Data!L$88- IF($I$1="Yes",M$322,0)- IF($L$1="Yes",M$357,0)</f>
        <v>-1.9999999999953388E-3</v>
      </c>
      <c r="N212" s="153">
        <f>SUM(N$151,N$161,N$185)-Data!M$88- IF($I$1="Yes",N$322,0)- IF($L$1="Yes",N$357,0)</f>
        <v>-9.9999999999056399E-4</v>
      </c>
      <c r="O212" s="230">
        <f t="shared" ref="O212:X212" si="104">IF(O$2="Proj Yr1",0,N$212)</f>
        <v>0</v>
      </c>
      <c r="P212" s="230">
        <f t="shared" si="104"/>
        <v>0</v>
      </c>
      <c r="Q212" s="230">
        <f t="shared" si="104"/>
        <v>0</v>
      </c>
      <c r="R212" s="230">
        <f t="shared" si="104"/>
        <v>0</v>
      </c>
      <c r="S212" s="230">
        <f t="shared" si="104"/>
        <v>0</v>
      </c>
      <c r="T212" s="230">
        <f t="shared" si="104"/>
        <v>0</v>
      </c>
      <c r="U212" s="230">
        <f t="shared" si="104"/>
        <v>0</v>
      </c>
      <c r="V212" s="230">
        <f t="shared" si="104"/>
        <v>0</v>
      </c>
      <c r="W212" s="230">
        <f t="shared" si="104"/>
        <v>0</v>
      </c>
      <c r="X212" s="230">
        <f t="shared" si="104"/>
        <v>0</v>
      </c>
    </row>
    <row r="213" spans="1:24" x14ac:dyDescent="0.2">
      <c r="A213" s="31"/>
      <c r="B213" s="77"/>
      <c r="C213" s="69"/>
      <c r="D213" s="99"/>
      <c r="E213" s="99"/>
      <c r="F213" s="99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</row>
    <row r="214" spans="1:24" x14ac:dyDescent="0.2">
      <c r="A214" s="106" t="s">
        <v>652</v>
      </c>
      <c r="B214" s="77"/>
      <c r="C214" s="69"/>
      <c r="D214" s="99"/>
      <c r="E214" s="99"/>
      <c r="F214" s="99"/>
      <c r="G214" s="104"/>
      <c r="H214" s="104"/>
      <c r="I214" s="104"/>
      <c r="J214" s="104"/>
      <c r="K214" s="104"/>
      <c r="L214" s="104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spans="1:24" x14ac:dyDescent="0.2">
      <c r="A215" s="220" t="s">
        <v>112</v>
      </c>
      <c r="B215" s="226"/>
      <c r="C215" s="69"/>
      <c r="D215" s="69">
        <f>Data!C$211</f>
        <v>0.70399999999999996</v>
      </c>
      <c r="E215" s="69">
        <f>Data!D$211</f>
        <v>0.56200000000000006</v>
      </c>
      <c r="F215" s="69">
        <f>Data!E$211</f>
        <v>-0.20699999999999999</v>
      </c>
      <c r="G215" s="69">
        <f>Data!F$211</f>
        <v>-0.21199999999999999</v>
      </c>
      <c r="H215" s="69">
        <f>Data!G$211</f>
        <v>-0.29099999999999998</v>
      </c>
      <c r="I215" s="69">
        <f>Data!H$211</f>
        <v>-0.20200000000000001</v>
      </c>
      <c r="J215" s="103">
        <f>Data!I$211</f>
        <v>-3.0000000000000001E-3</v>
      </c>
      <c r="K215" s="103">
        <f>Data!J$211</f>
        <v>-3.0000000000000001E-3</v>
      </c>
      <c r="L215" s="103">
        <f>Data!K$211</f>
        <v>-3.0000000000000001E-3</v>
      </c>
      <c r="M215" s="103">
        <f>Data!L$211</f>
        <v>-3.0000000000000001E-3</v>
      </c>
      <c r="N215" s="103">
        <f>Data!M$211</f>
        <v>-3.0000000000000001E-3</v>
      </c>
      <c r="O215" s="275">
        <f t="shared" ref="O215:X215" si="105">N$215</f>
        <v>-3.0000000000000001E-3</v>
      </c>
      <c r="P215" s="275">
        <f t="shared" si="105"/>
        <v>-3.0000000000000001E-3</v>
      </c>
      <c r="Q215" s="275">
        <f t="shared" si="105"/>
        <v>-3.0000000000000001E-3</v>
      </c>
      <c r="R215" s="275">
        <f t="shared" si="105"/>
        <v>-3.0000000000000001E-3</v>
      </c>
      <c r="S215" s="275">
        <f t="shared" si="105"/>
        <v>-3.0000000000000001E-3</v>
      </c>
      <c r="T215" s="275">
        <f t="shared" si="105"/>
        <v>-3.0000000000000001E-3</v>
      </c>
      <c r="U215" s="275">
        <f t="shared" si="105"/>
        <v>-3.0000000000000001E-3</v>
      </c>
      <c r="V215" s="275">
        <f t="shared" si="105"/>
        <v>-3.0000000000000001E-3</v>
      </c>
      <c r="W215" s="275">
        <f t="shared" si="105"/>
        <v>-3.0000000000000001E-3</v>
      </c>
      <c r="X215" s="275">
        <f t="shared" si="105"/>
        <v>-3.0000000000000001E-3</v>
      </c>
    </row>
    <row r="216" spans="1:24" x14ac:dyDescent="0.2">
      <c r="A216" s="220" t="s">
        <v>639</v>
      </c>
      <c r="B216" s="226"/>
      <c r="C216" s="69"/>
      <c r="D216" s="69">
        <f>Data!C$212</f>
        <v>0</v>
      </c>
      <c r="E216" s="69">
        <f>Data!D$212</f>
        <v>0</v>
      </c>
      <c r="F216" s="69">
        <f>Data!E$212</f>
        <v>1.7000000000000001E-2</v>
      </c>
      <c r="G216" s="69">
        <f>Data!F$212</f>
        <v>7.3999999999999996E-2</v>
      </c>
      <c r="H216" s="69">
        <f>Data!G$212</f>
        <v>0.61199999999999999</v>
      </c>
      <c r="I216" s="69">
        <f>Data!H$212</f>
        <v>0.375</v>
      </c>
      <c r="J216" s="103">
        <f>Data!I$212</f>
        <v>1E-3</v>
      </c>
      <c r="K216" s="103">
        <f>Data!J$212</f>
        <v>0</v>
      </c>
      <c r="L216" s="103">
        <f>Data!K$212</f>
        <v>-1E-3</v>
      </c>
      <c r="M216" s="103">
        <f>Data!L$212</f>
        <v>-2E-3</v>
      </c>
      <c r="N216" s="103">
        <f>Data!M$212</f>
        <v>-3.0000000000000001E-3</v>
      </c>
      <c r="O216" s="275">
        <f t="shared" ref="O216:X216" ca="1" si="106">SUM(N$216,O$218,-O$217)</f>
        <v>-3.0000000000000001E-3</v>
      </c>
      <c r="P216" s="275">
        <f t="shared" ca="1" si="106"/>
        <v>-3.0000000000000001E-3</v>
      </c>
      <c r="Q216" s="275">
        <f t="shared" ca="1" si="106"/>
        <v>-3.0000000000000001E-3</v>
      </c>
      <c r="R216" s="275">
        <f t="shared" ca="1" si="106"/>
        <v>-3.0000000000000001E-3</v>
      </c>
      <c r="S216" s="275">
        <f t="shared" ca="1" si="106"/>
        <v>-3.0000000000000001E-3</v>
      </c>
      <c r="T216" s="275">
        <f t="shared" ca="1" si="106"/>
        <v>-3.0000000000000001E-3</v>
      </c>
      <c r="U216" s="275">
        <f t="shared" ca="1" si="106"/>
        <v>-3.0000000000000001E-3</v>
      </c>
      <c r="V216" s="275">
        <f t="shared" ca="1" si="106"/>
        <v>-3.0000000000000001E-3</v>
      </c>
      <c r="W216" s="275">
        <f t="shared" ca="1" si="106"/>
        <v>-3.0000000000000001E-3</v>
      </c>
      <c r="X216" s="275">
        <f t="shared" ca="1" si="106"/>
        <v>-3.0000000000000001E-3</v>
      </c>
    </row>
    <row r="217" spans="1:24" x14ac:dyDescent="0.2">
      <c r="A217" s="220" t="s">
        <v>640</v>
      </c>
      <c r="B217" s="226"/>
      <c r="C217" s="69"/>
      <c r="D217" s="69">
        <f>Data!C$213</f>
        <v>0</v>
      </c>
      <c r="E217" s="69">
        <f>Data!D$213</f>
        <v>0</v>
      </c>
      <c r="F217" s="69">
        <f>Data!E$213</f>
        <v>0</v>
      </c>
      <c r="G217" s="69">
        <f>Data!F$213</f>
        <v>2.3E-2</v>
      </c>
      <c r="H217" s="69">
        <f>Data!G$213</f>
        <v>0.32200000000000001</v>
      </c>
      <c r="I217" s="69">
        <f>Data!H$213</f>
        <v>0.57099999999999995</v>
      </c>
      <c r="J217" s="103">
        <f>Data!I$213</f>
        <v>0.38200000000000001</v>
      </c>
      <c r="K217" s="103">
        <f>Data!J$213</f>
        <v>5.0000000000000001E-3</v>
      </c>
      <c r="L217" s="103">
        <f>Data!K$213</f>
        <v>5.0000000000000001E-3</v>
      </c>
      <c r="M217" s="103">
        <f>Data!L$213</f>
        <v>5.0000000000000001E-3</v>
      </c>
      <c r="N217" s="103">
        <f>Data!M$213</f>
        <v>5.0000000000000001E-3</v>
      </c>
      <c r="O217" s="275">
        <f t="shared" ref="O217:X217" ca="1" si="107">N$217*(1+O$247)</f>
        <v>5.1019104716227013E-3</v>
      </c>
      <c r="P217" s="275">
        <f t="shared" ca="1" si="107"/>
        <v>5.2039486810551558E-3</v>
      </c>
      <c r="Q217" s="275">
        <f t="shared" ca="1" si="107"/>
        <v>5.3080276546762593E-3</v>
      </c>
      <c r="R217" s="275">
        <f t="shared" ca="1" si="107"/>
        <v>5.4141882077697844E-3</v>
      </c>
      <c r="S217" s="275">
        <f t="shared" ca="1" si="107"/>
        <v>5.5224719719251802E-3</v>
      </c>
      <c r="T217" s="275">
        <f t="shared" ca="1" si="107"/>
        <v>5.6329214113636844E-3</v>
      </c>
      <c r="U217" s="275">
        <f t="shared" ca="1" si="107"/>
        <v>5.7455798395909582E-3</v>
      </c>
      <c r="V217" s="275">
        <f t="shared" ca="1" si="107"/>
        <v>5.8604914363827778E-3</v>
      </c>
      <c r="W217" s="275">
        <f t="shared" ca="1" si="107"/>
        <v>5.9777012651104338E-3</v>
      </c>
      <c r="X217" s="275">
        <f t="shared" ca="1" si="107"/>
        <v>6.0972552904126429E-3</v>
      </c>
    </row>
    <row r="218" spans="1:24" x14ac:dyDescent="0.2">
      <c r="A218" s="220" t="s">
        <v>641</v>
      </c>
      <c r="B218" s="226"/>
      <c r="C218" s="69"/>
      <c r="D218" s="69">
        <f>Data!C$214</f>
        <v>0</v>
      </c>
      <c r="E218" s="69">
        <f>Data!D$214</f>
        <v>0</v>
      </c>
      <c r="F218" s="69">
        <f>Data!E$214</f>
        <v>1.7000000000000001E-2</v>
      </c>
      <c r="G218" s="69">
        <f>Data!F$214</f>
        <v>0.08</v>
      </c>
      <c r="H218" s="69">
        <f>Data!G$214</f>
        <v>0.86</v>
      </c>
      <c r="I218" s="69">
        <f>Data!H$214</f>
        <v>0.33400000000000002</v>
      </c>
      <c r="J218" s="103">
        <f>Data!I$214</f>
        <v>8.0000000000000002E-3</v>
      </c>
      <c r="K218" s="103">
        <f>Data!J$214</f>
        <v>4.0000000000000001E-3</v>
      </c>
      <c r="L218" s="103">
        <f>Data!K$214</f>
        <v>4.0000000000000001E-3</v>
      </c>
      <c r="M218" s="103">
        <f>Data!L$214</f>
        <v>4.0000000000000001E-3</v>
      </c>
      <c r="N218" s="103">
        <f>Data!M$214</f>
        <v>4.0000000000000001E-3</v>
      </c>
      <c r="O218" s="80">
        <f t="shared" ref="O218:X218" ca="1" si="108">O$217</f>
        <v>5.1019104716227013E-3</v>
      </c>
      <c r="P218" s="80">
        <f t="shared" ca="1" si="108"/>
        <v>5.2039486810551558E-3</v>
      </c>
      <c r="Q218" s="80">
        <f t="shared" ca="1" si="108"/>
        <v>5.3080276546762593E-3</v>
      </c>
      <c r="R218" s="80">
        <f t="shared" ca="1" si="108"/>
        <v>5.4141882077697844E-3</v>
      </c>
      <c r="S218" s="80">
        <f t="shared" ca="1" si="108"/>
        <v>5.5224719719251802E-3</v>
      </c>
      <c r="T218" s="80">
        <f t="shared" ca="1" si="108"/>
        <v>5.6329214113636844E-3</v>
      </c>
      <c r="U218" s="80">
        <f t="shared" ca="1" si="108"/>
        <v>5.7455798395909582E-3</v>
      </c>
      <c r="V218" s="80">
        <f t="shared" ca="1" si="108"/>
        <v>5.8604914363827778E-3</v>
      </c>
      <c r="W218" s="80">
        <f t="shared" ca="1" si="108"/>
        <v>5.9777012651104338E-3</v>
      </c>
      <c r="X218" s="80">
        <f t="shared" ca="1" si="108"/>
        <v>6.0972552904126429E-3</v>
      </c>
    </row>
    <row r="219" spans="1:24" x14ac:dyDescent="0.2">
      <c r="A219" s="220"/>
      <c r="B219" s="77"/>
      <c r="C219" s="69"/>
      <c r="D219" s="99"/>
      <c r="E219" s="99"/>
      <c r="F219" s="99"/>
      <c r="G219" s="104"/>
      <c r="H219" s="104"/>
      <c r="I219" s="104"/>
      <c r="J219" s="104"/>
      <c r="K219" s="104"/>
      <c r="L219" s="104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</row>
    <row r="220" spans="1:24" x14ac:dyDescent="0.2">
      <c r="A220" s="106" t="s">
        <v>397</v>
      </c>
      <c r="B220" s="77"/>
      <c r="C220" s="6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1:24" x14ac:dyDescent="0.2">
      <c r="A221" s="157" t="s">
        <v>653</v>
      </c>
      <c r="B221" s="226"/>
      <c r="C221" s="69"/>
      <c r="D221" s="69">
        <f>Data!C$76</f>
        <v>7.1609999999999996</v>
      </c>
      <c r="E221" s="69">
        <f>Data!D$76</f>
        <v>8.2569999999999997</v>
      </c>
      <c r="F221" s="69">
        <f>Data!E$76</f>
        <v>8.9930000000000003</v>
      </c>
      <c r="G221" s="69">
        <f>Data!F$76</f>
        <v>9.94</v>
      </c>
      <c r="H221" s="69">
        <f>Data!G$76</f>
        <v>10.156000000000001</v>
      </c>
      <c r="I221" s="69">
        <f>Data!H$76</f>
        <v>13.539</v>
      </c>
      <c r="J221" s="103">
        <f>Data!I$76</f>
        <v>12.227</v>
      </c>
      <c r="K221" s="103">
        <f>Data!J$76</f>
        <v>11.766</v>
      </c>
      <c r="L221" s="103">
        <f>Data!K$76</f>
        <v>11.321999999999999</v>
      </c>
      <c r="M221" s="103">
        <f>Data!L$76</f>
        <v>10.904999999999999</v>
      </c>
      <c r="N221" s="103">
        <f>Data!M$76</f>
        <v>10.507</v>
      </c>
      <c r="O221" s="98">
        <f>N$221*Tracks!S$17/Tracks!R$17</f>
        <v>10.262268545703659</v>
      </c>
      <c r="P221" s="98">
        <f>O$221*Tracks!T$17/Tracks!S$17</f>
        <v>10.014452241143079</v>
      </c>
      <c r="Q221" s="98">
        <f>P$221*Tracks!U$17/Tracks!T$17</f>
        <v>9.7419571344685849</v>
      </c>
      <c r="R221" s="98">
        <f>Q$221*Tracks!V$17/Tracks!U$17</f>
        <v>9.4519812096300644</v>
      </c>
      <c r="S221" s="98">
        <f>R$221*Tracks!W$17/Tracks!V$17</f>
        <v>9.1465810334703459</v>
      </c>
      <c r="T221" s="98">
        <f>S$221*Tracks!X$17/Tracks!W$17</f>
        <v>8.8339828733607373</v>
      </c>
      <c r="U221" s="98">
        <f>T$221*Tracks!Y$17/Tracks!X$17</f>
        <v>8.5254978469367781</v>
      </c>
      <c r="V221" s="98">
        <f>U$221*Tracks!Z$17/Tracks!Y$17</f>
        <v>8.222154237619888</v>
      </c>
      <c r="W221" s="98">
        <f>V$221*Tracks!AA$17/Tracks!Z$17</f>
        <v>7.9280651790957153</v>
      </c>
      <c r="X221" s="98">
        <f>W$221*Tracks!AB$17/Tracks!AA$17</f>
        <v>7.6401458211000204</v>
      </c>
    </row>
    <row r="222" spans="1:24" x14ac:dyDescent="0.2">
      <c r="A222" s="68" t="s">
        <v>654</v>
      </c>
      <c r="B222" s="41"/>
      <c r="C222" s="69"/>
      <c r="D222" s="69">
        <f>SUM(D$215,D$216)</f>
        <v>0.70399999999999996</v>
      </c>
      <c r="E222" s="69">
        <f t="shared" ref="E222:X222" si="109">SUM(E$215,E$216)</f>
        <v>0.56200000000000006</v>
      </c>
      <c r="F222" s="69">
        <f t="shared" si="109"/>
        <v>-0.19</v>
      </c>
      <c r="G222" s="69">
        <f t="shared" si="109"/>
        <v>-0.13800000000000001</v>
      </c>
      <c r="H222" s="69">
        <f t="shared" si="109"/>
        <v>0.32100000000000001</v>
      </c>
      <c r="I222" s="69">
        <f t="shared" si="109"/>
        <v>0.17299999999999999</v>
      </c>
      <c r="J222" s="103">
        <f t="shared" si="109"/>
        <v>-2E-3</v>
      </c>
      <c r="K222" s="103">
        <f t="shared" si="109"/>
        <v>-3.0000000000000001E-3</v>
      </c>
      <c r="L222" s="103">
        <f t="shared" si="109"/>
        <v>-4.0000000000000001E-3</v>
      </c>
      <c r="M222" s="103">
        <f t="shared" si="109"/>
        <v>-5.0000000000000001E-3</v>
      </c>
      <c r="N222" s="103">
        <f t="shared" si="109"/>
        <v>-6.0000000000000001E-3</v>
      </c>
      <c r="O222" s="80">
        <f t="shared" ca="1" si="109"/>
        <v>-6.0000000000000001E-3</v>
      </c>
      <c r="P222" s="80">
        <f t="shared" ca="1" si="109"/>
        <v>-6.0000000000000001E-3</v>
      </c>
      <c r="Q222" s="80">
        <f t="shared" ca="1" si="109"/>
        <v>-6.0000000000000001E-3</v>
      </c>
      <c r="R222" s="80">
        <f t="shared" ca="1" si="109"/>
        <v>-6.0000000000000001E-3</v>
      </c>
      <c r="S222" s="80">
        <f t="shared" ca="1" si="109"/>
        <v>-6.0000000000000001E-3</v>
      </c>
      <c r="T222" s="80">
        <f t="shared" ca="1" si="109"/>
        <v>-6.0000000000000001E-3</v>
      </c>
      <c r="U222" s="80">
        <f t="shared" ca="1" si="109"/>
        <v>-6.0000000000000001E-3</v>
      </c>
      <c r="V222" s="80">
        <f t="shared" ca="1" si="109"/>
        <v>-6.0000000000000001E-3</v>
      </c>
      <c r="W222" s="80">
        <f t="shared" ca="1" si="109"/>
        <v>-6.0000000000000001E-3</v>
      </c>
      <c r="X222" s="80">
        <f t="shared" ca="1" si="109"/>
        <v>-6.0000000000000001E-3</v>
      </c>
    </row>
    <row r="223" spans="1:24" x14ac:dyDescent="0.2">
      <c r="A223" s="68" t="s">
        <v>655</v>
      </c>
      <c r="B223" s="226"/>
      <c r="C223" s="69"/>
      <c r="D223" s="69">
        <f>Data!C$119-SUM(D$221,D$222)</f>
        <v>10.673000000000002</v>
      </c>
      <c r="E223" s="69">
        <f>Data!D$119-SUM(E$221,E$222)</f>
        <v>13.213000000000001</v>
      </c>
      <c r="F223" s="69">
        <f>Data!E$119-SUM(F$221,F$222)</f>
        <v>14.439</v>
      </c>
      <c r="G223" s="69">
        <f>Data!F$119-SUM(G$221,G$222)</f>
        <v>15.161000000000001</v>
      </c>
      <c r="H223" s="69">
        <f>Data!G$119-SUM(H$221,H$222)</f>
        <v>16.73</v>
      </c>
      <c r="I223" s="69">
        <f>Data!H$119-SUM(I$221,I$222)</f>
        <v>16.815999999999999</v>
      </c>
      <c r="J223" s="103">
        <f>Data!I$119-SUM(J$221,J$222) + IF($I$1="Yes",J$326,0)</f>
        <v>16.657000000000004</v>
      </c>
      <c r="K223" s="103">
        <f>Data!J$119-SUM(K$221,K$222) + IF($I$1="Yes",K$326,0)</f>
        <v>15.979999999999999</v>
      </c>
      <c r="L223" s="103">
        <f>Data!K$119-SUM(L$221,L$222) + IF($I$1="Yes",L$326,0)</f>
        <v>15.552000000000001</v>
      </c>
      <c r="M223" s="103">
        <f>Data!L$119-SUM(M$221,M$222) + IF($I$1="Yes",M$326,0)</f>
        <v>15.126000000000001</v>
      </c>
      <c r="N223" s="103">
        <f>Data!M$119-SUM(N$221,N$222) + IF($I$1="Yes",N$326,0)</f>
        <v>15.389999999999999</v>
      </c>
      <c r="O223" s="80">
        <f t="shared" ref="O223:X223" ca="1" si="110">N$223*(1+O$247)</f>
        <v>15.703680431654673</v>
      </c>
      <c r="P223" s="80">
        <f t="shared" ca="1" si="110"/>
        <v>16.017754040287766</v>
      </c>
      <c r="Q223" s="80">
        <f t="shared" ca="1" si="110"/>
        <v>16.33810912109352</v>
      </c>
      <c r="R223" s="80">
        <f t="shared" ca="1" si="110"/>
        <v>16.66487130351539</v>
      </c>
      <c r="S223" s="80">
        <f t="shared" ca="1" si="110"/>
        <v>16.9981687295857</v>
      </c>
      <c r="T223" s="80">
        <f t="shared" ca="1" si="110"/>
        <v>17.338132104177415</v>
      </c>
      <c r="U223" s="80">
        <f t="shared" ca="1" si="110"/>
        <v>17.684894746260962</v>
      </c>
      <c r="V223" s="80">
        <f t="shared" ca="1" si="110"/>
        <v>18.038592641186181</v>
      </c>
      <c r="W223" s="80">
        <f t="shared" ca="1" si="110"/>
        <v>18.399364494009905</v>
      </c>
      <c r="X223" s="80">
        <f t="shared" ca="1" si="110"/>
        <v>18.767351783890103</v>
      </c>
    </row>
    <row r="224" spans="1:24" x14ac:dyDescent="0.2">
      <c r="A224" s="158" t="s">
        <v>683</v>
      </c>
      <c r="B224" s="226"/>
      <c r="C224" s="69"/>
      <c r="D224" s="173">
        <f>D$234-Data!C$118</f>
        <v>7.0000000000050022E-3</v>
      </c>
      <c r="E224" s="173">
        <f>E$234-Data!D$118</f>
        <v>0.16899999999999693</v>
      </c>
      <c r="F224" s="173">
        <f>F$234-Data!E$118</f>
        <v>0.65599999999999881</v>
      </c>
      <c r="G224" s="173">
        <f>G$234-Data!F$118</f>
        <v>1</v>
      </c>
      <c r="H224" s="173">
        <f>H$234-Data!G$118</f>
        <v>5.8000000000006935E-2</v>
      </c>
      <c r="I224" s="173">
        <f>I$234-Data!H$118</f>
        <v>0.17000000000000171</v>
      </c>
      <c r="J224" s="127">
        <f>J$234-Data!I$118 - IF($F$1="Yes",J$344,0) - IF($I$1="Yes",J$331,0) - IF($L$1="Yes",J$362,0)</f>
        <v>1.0000000000047748E-3</v>
      </c>
      <c r="K224" s="127">
        <f>K$234-Data!J$118 - IF($F$1="Yes",K$344,0) - IF($I$1="Yes",K$331,0) - IF($L$1="Yes",K$362,0)</f>
        <v>0</v>
      </c>
      <c r="L224" s="127">
        <f>L$234-Data!K$118 - IF($F$1="Yes",L$344,0) - IF($I$1="Yes",L$331,0) - IF($L$1="Yes",L$362,0)</f>
        <v>-1.0000000000047748E-3</v>
      </c>
      <c r="M224" s="127">
        <f>M$234-Data!L$118 - IF($F$1="Yes",M$344,0) - IF($I$1="Yes",M$331,0) - IF($L$1="Yes",M$362,0)</f>
        <v>2.0000000000095497E-3</v>
      </c>
      <c r="N224" s="127">
        <f>N$234-Data!M$118 - IF($F$1="Yes",N$344,0) - IF($I$1="Yes",N$331,0) - IF($L$1="Yes",N$362,0)</f>
        <v>1.9999999999953388E-3</v>
      </c>
      <c r="O224" s="81">
        <f t="shared" ref="O224:X224" si="111">IF(O$2="Proj Yr1",0,N$224)</f>
        <v>0</v>
      </c>
      <c r="P224" s="81">
        <f t="shared" si="111"/>
        <v>0</v>
      </c>
      <c r="Q224" s="81">
        <f t="shared" si="111"/>
        <v>0</v>
      </c>
      <c r="R224" s="81">
        <f t="shared" si="111"/>
        <v>0</v>
      </c>
      <c r="S224" s="81">
        <f t="shared" si="111"/>
        <v>0</v>
      </c>
      <c r="T224" s="81">
        <f t="shared" si="111"/>
        <v>0</v>
      </c>
      <c r="U224" s="81">
        <f t="shared" si="111"/>
        <v>0</v>
      </c>
      <c r="V224" s="81">
        <f t="shared" si="111"/>
        <v>0</v>
      </c>
      <c r="W224" s="81">
        <f t="shared" si="111"/>
        <v>0</v>
      </c>
      <c r="X224" s="81">
        <f t="shared" si="111"/>
        <v>0</v>
      </c>
    </row>
    <row r="225" spans="1:24" x14ac:dyDescent="0.2">
      <c r="A225" s="27" t="s">
        <v>179</v>
      </c>
      <c r="B225" s="41"/>
      <c r="C225" s="69"/>
      <c r="D225" s="71">
        <f t="shared" ref="D225:X225" si="112">SUM(D$221:D$223,-D$224)</f>
        <v>18.530999999999995</v>
      </c>
      <c r="E225" s="71">
        <f t="shared" si="112"/>
        <v>21.863000000000003</v>
      </c>
      <c r="F225" s="71">
        <f t="shared" si="112"/>
        <v>22.586000000000002</v>
      </c>
      <c r="G225" s="71">
        <f t="shared" si="112"/>
        <v>23.963000000000001</v>
      </c>
      <c r="H225" s="71">
        <f t="shared" si="112"/>
        <v>27.148999999999994</v>
      </c>
      <c r="I225" s="71">
        <f t="shared" si="112"/>
        <v>30.357999999999997</v>
      </c>
      <c r="J225" s="128">
        <f t="shared" si="112"/>
        <v>28.881</v>
      </c>
      <c r="K225" s="128">
        <f t="shared" si="112"/>
        <v>27.742999999999999</v>
      </c>
      <c r="L225" s="128">
        <f t="shared" si="112"/>
        <v>26.871000000000006</v>
      </c>
      <c r="M225" s="128">
        <f t="shared" si="112"/>
        <v>26.02399999999999</v>
      </c>
      <c r="N225" s="128">
        <f t="shared" si="112"/>
        <v>25.889000000000003</v>
      </c>
      <c r="O225" s="75">
        <f t="shared" ca="1" si="112"/>
        <v>25.95994897735833</v>
      </c>
      <c r="P225" s="75">
        <f t="shared" ca="1" si="112"/>
        <v>26.026206281430845</v>
      </c>
      <c r="Q225" s="75">
        <f t="shared" ca="1" si="112"/>
        <v>26.074066255562105</v>
      </c>
      <c r="R225" s="75">
        <f t="shared" ca="1" si="112"/>
        <v>26.110852513145453</v>
      </c>
      <c r="S225" s="75">
        <f t="shared" ca="1" si="112"/>
        <v>26.138749763056047</v>
      </c>
      <c r="T225" s="75">
        <f t="shared" ca="1" si="112"/>
        <v>26.16611497753815</v>
      </c>
      <c r="U225" s="75">
        <f t="shared" ca="1" si="112"/>
        <v>26.204392593197738</v>
      </c>
      <c r="V225" s="75">
        <f t="shared" ca="1" si="112"/>
        <v>26.254746878806067</v>
      </c>
      <c r="W225" s="75">
        <f t="shared" ca="1" si="112"/>
        <v>26.321429673105619</v>
      </c>
      <c r="X225" s="75">
        <f t="shared" ca="1" si="112"/>
        <v>26.401497604990123</v>
      </c>
    </row>
    <row r="226" spans="1:24" x14ac:dyDescent="0.2">
      <c r="A226" s="158" t="s">
        <v>661</v>
      </c>
      <c r="B226" s="226"/>
      <c r="C226" s="69"/>
      <c r="D226" s="174">
        <f>SUM(Data!C$206,Data!C$207)</f>
        <v>17.396000000000001</v>
      </c>
      <c r="E226" s="174">
        <f>SUM(Data!D$206,Data!D$207)</f>
        <v>20.471</v>
      </c>
      <c r="F226" s="174">
        <f>SUM(Data!E$206,Data!E$207)</f>
        <v>26.533000000000001</v>
      </c>
      <c r="G226" s="174">
        <f>SUM(Data!F$206,Data!F$207)</f>
        <v>27.085000000000001</v>
      </c>
      <c r="H226" s="174">
        <f>SUM(Data!G$206,Data!G$207)</f>
        <v>37.509</v>
      </c>
      <c r="I226" s="174">
        <f>SUM(Data!H$206,Data!H$207)</f>
        <v>39.524999999999999</v>
      </c>
      <c r="J226" s="153">
        <f>SUM(Data!I$206,Data!I$207)</f>
        <v>37.881</v>
      </c>
      <c r="K226" s="153">
        <f>SUM(Data!J$206,Data!J$207)</f>
        <v>35.165999999999997</v>
      </c>
      <c r="L226" s="153">
        <f>SUM(Data!K$206,Data!K$207)</f>
        <v>33.167999999999999</v>
      </c>
      <c r="M226" s="153">
        <f>SUM(Data!L$206,Data!L$207)</f>
        <v>32.896999999999998</v>
      </c>
      <c r="N226" s="153">
        <f>SUM(Data!M$206,Data!M$207)</f>
        <v>33.782999999999994</v>
      </c>
      <c r="O226" s="98">
        <f t="shared" ref="O226:X226" ca="1" si="113">N$226*(1+O$245)</f>
        <v>35.29893843614115</v>
      </c>
      <c r="P226" s="98">
        <f t="shared" ca="1" si="113"/>
        <v>36.887057219509543</v>
      </c>
      <c r="Q226" s="98">
        <f t="shared" ca="1" si="113"/>
        <v>38.589147993368577</v>
      </c>
      <c r="R226" s="98">
        <f t="shared" ca="1" si="113"/>
        <v>40.374513539481136</v>
      </c>
      <c r="S226" s="98">
        <f t="shared" ca="1" si="113"/>
        <v>42.231151183136625</v>
      </c>
      <c r="T226" s="98">
        <f t="shared" ca="1" si="113"/>
        <v>44.13785692734119</v>
      </c>
      <c r="U226" s="98">
        <f t="shared" ca="1" si="113"/>
        <v>46.099063833062672</v>
      </c>
      <c r="V226" s="98">
        <f t="shared" ca="1" si="113"/>
        <v>48.135909749461518</v>
      </c>
      <c r="W226" s="98">
        <f t="shared" ca="1" si="113"/>
        <v>50.236257391834243</v>
      </c>
      <c r="X226" s="98">
        <f t="shared" ca="1" si="113"/>
        <v>52.395841747928934</v>
      </c>
    </row>
    <row r="227" spans="1:24" x14ac:dyDescent="0.2">
      <c r="A227" s="158" t="s">
        <v>662</v>
      </c>
      <c r="B227" s="226"/>
      <c r="C227" s="69"/>
      <c r="D227" s="173">
        <f>SUM(Data!C$71:C$73,Data!C$75:C$77)-SUM(D$225,D$226)</f>
        <v>5.6970000000000098</v>
      </c>
      <c r="E227" s="173">
        <f>SUM(Data!D$71:D$73,Data!D$75:D$77)-SUM(E$225,E$226)</f>
        <v>6.8769999999999953</v>
      </c>
      <c r="F227" s="173">
        <f>SUM(Data!E$71:E$73,Data!E$75:E$77)-SUM(F$225,F$226)</f>
        <v>6.5640000000000001</v>
      </c>
      <c r="G227" s="173">
        <f>SUM(Data!F$71:F$73,Data!F$75:F$77)-SUM(G$225,G$226)</f>
        <v>7.5859999999999985</v>
      </c>
      <c r="H227" s="173">
        <f>SUM(Data!G$71:G$73,Data!G$75:G$77)-SUM(H$225,H$226)</f>
        <v>9.4250000000000114</v>
      </c>
      <c r="I227" s="173">
        <f>SUM(Data!H$71:H$73,Data!H$75:H$77)-SUM(I$225,I$226)</f>
        <v>10.121000000000009</v>
      </c>
      <c r="J227" s="127">
        <f>SUM(Data!I$71:I$73,Data!I$75:I$77)-SUM(J$225,J$226) + IF($I$1="Yes",J$326,0)</f>
        <v>9.8730000000000047</v>
      </c>
      <c r="K227" s="127">
        <f>SUM(Data!J$71:J$73,Data!J$75:J$77)-SUM(K$225,K$226) + IF($I$1="Yes",K$326,0)</f>
        <v>9.8860000000000241</v>
      </c>
      <c r="L227" s="127">
        <f>SUM(Data!K$71:K$73,Data!K$75:K$77)-SUM(L$225,L$226) + IF($I$1="Yes",L$326,0)</f>
        <v>9.7599999999999909</v>
      </c>
      <c r="M227" s="127">
        <f>SUM(Data!L$71:L$73,Data!L$75:L$77)-SUM(M$225,M$226) + IF($I$1="Yes",M$326,0)</f>
        <v>10.292000000000016</v>
      </c>
      <c r="N227" s="127">
        <f>SUM(Data!M$71:M$73,Data!M$75:M$77)-SUM(N$225,N$226) + IF($I$1="Yes",N$326,0)</f>
        <v>10.25200000000001</v>
      </c>
      <c r="O227" s="81">
        <f t="shared" ref="O227:X227" ca="1" si="114">N$227*(1+O$247)</f>
        <v>10.460957231015197</v>
      </c>
      <c r="P227" s="81">
        <f t="shared" ca="1" si="114"/>
        <v>10.670176375635501</v>
      </c>
      <c r="Q227" s="81">
        <f t="shared" ca="1" si="114"/>
        <v>10.883579903148211</v>
      </c>
      <c r="R227" s="81">
        <f t="shared" ca="1" si="114"/>
        <v>11.101251501211175</v>
      </c>
      <c r="S227" s="81">
        <f t="shared" ca="1" si="114"/>
        <v>11.323276531235399</v>
      </c>
      <c r="T227" s="81">
        <f t="shared" ca="1" si="114"/>
        <v>11.549742061860107</v>
      </c>
      <c r="U227" s="81">
        <f t="shared" ca="1" si="114"/>
        <v>11.780736903097308</v>
      </c>
      <c r="V227" s="81">
        <f t="shared" ca="1" si="114"/>
        <v>12.016351641159254</v>
      </c>
      <c r="W227" s="81">
        <f t="shared" ca="1" si="114"/>
        <v>12.256678673982439</v>
      </c>
      <c r="X227" s="81">
        <f t="shared" ca="1" si="114"/>
        <v>12.501812247462087</v>
      </c>
    </row>
    <row r="228" spans="1:24" x14ac:dyDescent="0.2">
      <c r="A228" s="27" t="s">
        <v>180</v>
      </c>
      <c r="B228" s="41"/>
      <c r="C228" s="69"/>
      <c r="D228" s="71">
        <f t="shared" ref="D228:I228" si="115">SUM(D$225:D$227)</f>
        <v>41.624000000000002</v>
      </c>
      <c r="E228" s="71">
        <f t="shared" si="115"/>
        <v>49.210999999999999</v>
      </c>
      <c r="F228" s="71">
        <f t="shared" si="115"/>
        <v>55.683</v>
      </c>
      <c r="G228" s="71">
        <f t="shared" si="115"/>
        <v>58.634</v>
      </c>
      <c r="H228" s="71">
        <f t="shared" si="115"/>
        <v>74.082999999999998</v>
      </c>
      <c r="I228" s="71">
        <f t="shared" si="115"/>
        <v>80.004000000000005</v>
      </c>
      <c r="J228" s="128">
        <f t="shared" ref="J228:X228" si="116">SUM(J$225:J$227)</f>
        <v>76.635000000000005</v>
      </c>
      <c r="K228" s="128">
        <f t="shared" si="116"/>
        <v>72.795000000000016</v>
      </c>
      <c r="L228" s="128">
        <f t="shared" si="116"/>
        <v>69.798999999999992</v>
      </c>
      <c r="M228" s="128">
        <f t="shared" si="116"/>
        <v>69.213000000000008</v>
      </c>
      <c r="N228" s="128">
        <f t="shared" si="116"/>
        <v>69.924000000000007</v>
      </c>
      <c r="O228" s="75">
        <f t="shared" ca="1" si="116"/>
        <v>71.71984464451468</v>
      </c>
      <c r="P228" s="75">
        <f t="shared" ca="1" si="116"/>
        <v>73.583439876575895</v>
      </c>
      <c r="Q228" s="75">
        <f t="shared" ca="1" si="116"/>
        <v>75.546794152078903</v>
      </c>
      <c r="R228" s="75">
        <f t="shared" ca="1" si="116"/>
        <v>77.586617553837769</v>
      </c>
      <c r="S228" s="75">
        <f t="shared" ca="1" si="116"/>
        <v>79.693177477428065</v>
      </c>
      <c r="T228" s="75">
        <f t="shared" ca="1" si="116"/>
        <v>81.853713966739448</v>
      </c>
      <c r="U228" s="75">
        <f t="shared" ca="1" si="116"/>
        <v>84.084193329357717</v>
      </c>
      <c r="V228" s="75">
        <f t="shared" ca="1" si="116"/>
        <v>86.407008269426825</v>
      </c>
      <c r="W228" s="75">
        <f t="shared" ca="1" si="116"/>
        <v>88.814365738922305</v>
      </c>
      <c r="X228" s="75">
        <f t="shared" ca="1" si="116"/>
        <v>91.299151600381137</v>
      </c>
    </row>
    <row r="229" spans="1:24" x14ac:dyDescent="0.2">
      <c r="A229" s="27"/>
      <c r="B229" s="41"/>
      <c r="C229" s="69"/>
      <c r="D229" s="71"/>
      <c r="E229" s="71"/>
      <c r="F229" s="71"/>
      <c r="G229" s="128"/>
      <c r="H229" s="128"/>
      <c r="I229" s="128"/>
      <c r="J229" s="128"/>
      <c r="K229" s="128"/>
      <c r="L229" s="128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</row>
    <row r="230" spans="1:24" x14ac:dyDescent="0.2">
      <c r="A230" s="106" t="s">
        <v>663</v>
      </c>
      <c r="B230" s="41"/>
      <c r="C230" s="74"/>
      <c r="D230" s="72"/>
      <c r="E230" s="72"/>
      <c r="F230" s="72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 s="27" t="s">
        <v>340</v>
      </c>
      <c r="B231" s="226"/>
      <c r="C231" s="74"/>
      <c r="D231" s="71">
        <f>Data!C$83</f>
        <v>10.734999999999999</v>
      </c>
      <c r="E231" s="71">
        <f>Data!D$83</f>
        <v>12.917999999999999</v>
      </c>
      <c r="F231" s="71">
        <f>Data!E$83</f>
        <v>17.504999999999999</v>
      </c>
      <c r="G231" s="71">
        <f>Data!F$83</f>
        <v>19.716000000000001</v>
      </c>
      <c r="H231" s="71">
        <f>Data!G$83</f>
        <v>22.48</v>
      </c>
      <c r="I231" s="71">
        <f>Data!H$83</f>
        <v>24.832999999999998</v>
      </c>
      <c r="J231" s="128">
        <f>Data!I$83</f>
        <v>25.856000000000002</v>
      </c>
      <c r="K231" s="128">
        <f>Data!J$83</f>
        <v>27.620999999999999</v>
      </c>
      <c r="L231" s="128">
        <f>Data!K$83</f>
        <v>29.565000000000001</v>
      </c>
      <c r="M231" s="128">
        <f>Data!L$83</f>
        <v>31.614000000000001</v>
      </c>
      <c r="N231" s="128">
        <f>Data!M$83</f>
        <v>34.292999999999999</v>
      </c>
      <c r="O231" s="75">
        <f t="shared" ref="O231:X231" ca="1" si="117">N$231*(1+O$245)</f>
        <v>35.831823573708334</v>
      </c>
      <c r="P231" s="75">
        <f t="shared" ca="1" si="117"/>
        <v>37.443917154445757</v>
      </c>
      <c r="Q231" s="75">
        <f t="shared" ca="1" si="117"/>
        <v>39.171703286759282</v>
      </c>
      <c r="R231" s="75">
        <f t="shared" ca="1" si="117"/>
        <v>40.984021336454042</v>
      </c>
      <c r="S231" s="75">
        <f t="shared" ca="1" si="117"/>
        <v>42.868687432238239</v>
      </c>
      <c r="T231" s="75">
        <f t="shared" ca="1" si="117"/>
        <v>44.804177474153029</v>
      </c>
      <c r="U231" s="75">
        <f t="shared" ca="1" si="117"/>
        <v>46.79499144620722</v>
      </c>
      <c r="V231" s="75">
        <f t="shared" ca="1" si="117"/>
        <v>48.862586301935416</v>
      </c>
      <c r="W231" s="75">
        <f t="shared" ca="1" si="117"/>
        <v>50.994641527933346</v>
      </c>
      <c r="X231" s="75">
        <f t="shared" ca="1" si="117"/>
        <v>53.186827725830369</v>
      </c>
    </row>
    <row r="232" spans="1:24" x14ac:dyDescent="0.2">
      <c r="A232" s="27" t="s">
        <v>339</v>
      </c>
      <c r="B232" s="226"/>
      <c r="C232" s="74"/>
      <c r="D232" s="71">
        <f>Data!C$82</f>
        <v>31.163</v>
      </c>
      <c r="E232" s="71">
        <f>Data!D$82</f>
        <v>33.192</v>
      </c>
      <c r="F232" s="71">
        <f>Data!E$82</f>
        <v>44.448</v>
      </c>
      <c r="G232" s="71">
        <f>Data!F$82</f>
        <v>50.017000000000003</v>
      </c>
      <c r="H232" s="71">
        <f>Data!G$82</f>
        <v>67.765000000000001</v>
      </c>
      <c r="I232" s="71">
        <f>Data!H$82</f>
        <v>75.700999999999993</v>
      </c>
      <c r="J232" s="128">
        <f>Data!I$82 + IF($F$1="Yes",J$344,0) + IF($I$1="Yes",J$331,0)+ IF($L$1="Yes",J$362,0)</f>
        <v>74.924000000000007</v>
      </c>
      <c r="K232" s="128">
        <f>Data!J$82 + IF($F$1="Yes",K$344,0) + IF($I$1="Yes",K$331,0)+ IF($L$1="Yes",K$362,0)</f>
        <v>84.58</v>
      </c>
      <c r="L232" s="128">
        <f>Data!K$82 + IF($F$1="Yes",L$344,0) + IF($I$1="Yes",L$331,0)+ IF($L$1="Yes",L$362,0)</f>
        <v>80.111999999999995</v>
      </c>
      <c r="M232" s="128">
        <f>Data!L$82 + IF($F$1="Yes",M$344,0) + IF($I$1="Yes",M$331,0)+ IF($L$1="Yes",M$362,0)</f>
        <v>83.614000000000004</v>
      </c>
      <c r="N232" s="128">
        <f>Data!M$82 + IF($F$1="Yes",N$344,0) + IF($I$1="Yes",N$331,0)+ IF($L$1="Yes",N$362,0)</f>
        <v>88.828999999999994</v>
      </c>
      <c r="O232" s="73">
        <f ca="1">N$232*IF(N$234&lt;=0,OFFSET(Scenarios!$A$49,0,$C$1),O$234/N$234)</f>
        <v>87.355603794612762</v>
      </c>
      <c r="P232" s="73">
        <f ca="1">O$232*IF(O$234&lt;=0,OFFSET(Scenarios!$A$49,0,$C$1),P$234/O$234)</f>
        <v>84.130066834883735</v>
      </c>
      <c r="Q232" s="73">
        <f ca="1">P$232*IF(P$234&lt;=0,OFFSET(Scenarios!$A$49,0,$C$1),Q$234/P$234)</f>
        <v>79.077186204509857</v>
      </c>
      <c r="R232" s="73">
        <f ca="1">Q$232*IF(Q$234&lt;=0,OFFSET(Scenarios!$A$49,0,$C$1),R$234/Q$234)</f>
        <v>73.740235837551438</v>
      </c>
      <c r="S232" s="73">
        <f ca="1">R$232*IF(R$234&lt;=0,OFFSET(Scenarios!$A$49,0,$C$1),S$234/R$234)</f>
        <v>66.835829529030036</v>
      </c>
      <c r="T232" s="73">
        <f ca="1">S$232*IF(S$234&lt;=0,OFFSET(Scenarios!$A$49,0,$C$1),T$234/S$234)</f>
        <v>58.122537946408961</v>
      </c>
      <c r="U232" s="73">
        <f ca="1">T$232*IF(T$234&lt;=0,OFFSET(Scenarios!$A$49,0,$C$1),U$234/T$234)</f>
        <v>47.454736349394238</v>
      </c>
      <c r="V232" s="73">
        <f ca="1">U$232*IF(U$234&lt;=0,OFFSET(Scenarios!$A$49,0,$C$1),V$234/U$234)</f>
        <v>34.628910717226958</v>
      </c>
      <c r="W232" s="73">
        <f ca="1">V$232*IF(V$234&lt;=0,OFFSET(Scenarios!$A$49,0,$C$1),W$234/V$234)</f>
        <v>19.478108054664606</v>
      </c>
      <c r="X232" s="73">
        <f ca="1">W$232*IF(W$234&lt;=0,OFFSET(Scenarios!$A$49,0,$C$1),X$234/W$234)</f>
        <v>1.7824281122425611</v>
      </c>
    </row>
    <row r="233" spans="1:24" x14ac:dyDescent="0.2">
      <c r="A233" s="158" t="s">
        <v>398</v>
      </c>
      <c r="C233" s="74"/>
      <c r="D233" s="173">
        <f t="shared" ref="D233:X233" si="118">D$234-D$232</f>
        <v>4.7290000000000028</v>
      </c>
      <c r="E233" s="173">
        <f t="shared" si="118"/>
        <v>4.1439999999999984</v>
      </c>
      <c r="F233" s="173">
        <f t="shared" si="118"/>
        <v>6.0970000000000013</v>
      </c>
      <c r="G233" s="173">
        <f t="shared" si="118"/>
        <v>8.5659999999999954</v>
      </c>
      <c r="H233" s="173">
        <f t="shared" si="118"/>
        <v>9.1200000000000045</v>
      </c>
      <c r="I233" s="173">
        <f t="shared" si="118"/>
        <v>8.9790000000000134</v>
      </c>
      <c r="J233" s="127">
        <f t="shared" si="118"/>
        <v>10.385999999999996</v>
      </c>
      <c r="K233" s="127">
        <f t="shared" si="118"/>
        <v>9.9240000000000066</v>
      </c>
      <c r="L233" s="127">
        <f t="shared" si="118"/>
        <v>9.9770000000000039</v>
      </c>
      <c r="M233" s="127">
        <f t="shared" si="118"/>
        <v>10.969999999999999</v>
      </c>
      <c r="N233" s="127">
        <f t="shared" si="118"/>
        <v>12.248000000000005</v>
      </c>
      <c r="O233" s="81">
        <f t="shared" ca="1" si="118"/>
        <v>12.044843860410651</v>
      </c>
      <c r="P233" s="81">
        <f t="shared" ca="1" si="118"/>
        <v>11.600097474852319</v>
      </c>
      <c r="Q233" s="81">
        <f t="shared" ca="1" si="118"/>
        <v>10.903391647241747</v>
      </c>
      <c r="R233" s="81">
        <f t="shared" ca="1" si="118"/>
        <v>10.167517460945533</v>
      </c>
      <c r="S233" s="81">
        <f t="shared" ca="1" si="118"/>
        <v>9.2155179059942185</v>
      </c>
      <c r="T233" s="81">
        <f t="shared" ca="1" si="118"/>
        <v>8.0141040062098838</v>
      </c>
      <c r="U233" s="81">
        <f t="shared" ca="1" si="118"/>
        <v>6.5431966002924824</v>
      </c>
      <c r="V233" s="81">
        <f t="shared" ca="1" si="118"/>
        <v>4.7747345851534533</v>
      </c>
      <c r="W233" s="81">
        <f t="shared" ca="1" si="118"/>
        <v>2.6856979978783073</v>
      </c>
      <c r="X233" s="81">
        <f t="shared" ca="1" si="118"/>
        <v>0.24576635466735985</v>
      </c>
    </row>
    <row r="234" spans="1:24" x14ac:dyDescent="0.2">
      <c r="A234" s="27" t="s">
        <v>399</v>
      </c>
      <c r="B234" s="226"/>
      <c r="C234" s="74"/>
      <c r="D234" s="71">
        <f>Data!C$85</f>
        <v>35.892000000000003</v>
      </c>
      <c r="E234" s="71">
        <f>Data!D$85</f>
        <v>37.335999999999999</v>
      </c>
      <c r="F234" s="71">
        <f>Data!E$85</f>
        <v>50.545000000000002</v>
      </c>
      <c r="G234" s="71">
        <f>Data!F$85</f>
        <v>58.582999999999998</v>
      </c>
      <c r="H234" s="71">
        <f>Data!G$85</f>
        <v>76.885000000000005</v>
      </c>
      <c r="I234" s="71">
        <f>Data!H$85</f>
        <v>84.68</v>
      </c>
      <c r="J234" s="128">
        <f>Data!I$85 + IF($F$1="Yes",J$344,0) + IF($I$1="Yes",J$331,0)+ IF($L$1="Yes",J$362,0)</f>
        <v>85.31</v>
      </c>
      <c r="K234" s="128">
        <f>Data!J$85 + IF($F$1="Yes",K$344,0) + IF($I$1="Yes",K$331,0)+ IF($L$1="Yes",K$362,0)</f>
        <v>94.504000000000005</v>
      </c>
      <c r="L234" s="128">
        <f>Data!K$85 + IF($F$1="Yes",L$344,0) + IF($I$1="Yes",L$331,0)+ IF($L$1="Yes",L$362,0)</f>
        <v>90.088999999999999</v>
      </c>
      <c r="M234" s="128">
        <f>Data!L$85 + IF($F$1="Yes",M$344,0) + IF($I$1="Yes",M$331,0)+ IF($L$1="Yes",M$362,0)</f>
        <v>94.584000000000003</v>
      </c>
      <c r="N234" s="128">
        <f>Data!M$85 + IF($F$1="Yes",N$344,0) + IF($I$1="Yes",N$331,0)+ IF($L$1="Yes",N$362,0)</f>
        <v>101.077</v>
      </c>
      <c r="O234" s="105">
        <f ca="1">MAX(IF(OFFSET(Scenarios!$A$46,0,$C$1)&gt;0,OFFSET(Scenarios!$A$46,0,$C$1)*O$244,0),O$237)</f>
        <v>99.400447655023413</v>
      </c>
      <c r="P234" s="105">
        <f ca="1">MAX(IF(OFFSET(Scenarios!$A$46,0,$C$1)&gt;0,OFFSET(Scenarios!$A$46,0,$C$1)*P$244,0),P$237)</f>
        <v>95.730164309736054</v>
      </c>
      <c r="Q234" s="105">
        <f ca="1">MAX(IF(OFFSET(Scenarios!$A$46,0,$C$1)&gt;0,OFFSET(Scenarios!$A$46,0,$C$1)*Q$244,0),Q$237)</f>
        <v>89.980577851751605</v>
      </c>
      <c r="R234" s="105">
        <f ca="1">MAX(IF(OFFSET(Scenarios!$A$46,0,$C$1)&gt;0,OFFSET(Scenarios!$A$46,0,$C$1)*R$244,0),R$237)</f>
        <v>83.907753298496971</v>
      </c>
      <c r="S234" s="105">
        <f ca="1">MAX(IF(OFFSET(Scenarios!$A$46,0,$C$1)&gt;0,OFFSET(Scenarios!$A$46,0,$C$1)*S$244,0),S$237)</f>
        <v>76.051347435024255</v>
      </c>
      <c r="T234" s="105">
        <f ca="1">MAX(IF(OFFSET(Scenarios!$A$46,0,$C$1)&gt;0,OFFSET(Scenarios!$A$46,0,$C$1)*T$244,0),T$237)</f>
        <v>66.136641952618845</v>
      </c>
      <c r="U234" s="105">
        <f ca="1">MAX(IF(OFFSET(Scenarios!$A$46,0,$C$1)&gt;0,OFFSET(Scenarios!$A$46,0,$C$1)*U$244,0),U$237)</f>
        <v>53.997932949686721</v>
      </c>
      <c r="V234" s="105">
        <f ca="1">MAX(IF(OFFSET(Scenarios!$A$46,0,$C$1)&gt;0,OFFSET(Scenarios!$A$46,0,$C$1)*V$244,0),V$237)</f>
        <v>39.403645302380411</v>
      </c>
      <c r="W234" s="105">
        <f ca="1">MAX(IF(OFFSET(Scenarios!$A$46,0,$C$1)&gt;0,OFFSET(Scenarios!$A$46,0,$C$1)*W$244,0),W$237)</f>
        <v>22.163806052542913</v>
      </c>
      <c r="X234" s="105">
        <f ca="1">MAX(IF(OFFSET(Scenarios!$A$46,0,$C$1)&gt;0,OFFSET(Scenarios!$A$46,0,$C$1)*X$244,0),X$237)</f>
        <v>2.028194466909921</v>
      </c>
    </row>
    <row r="235" spans="1:24" x14ac:dyDescent="0.2">
      <c r="A235" s="158" t="s">
        <v>638</v>
      </c>
      <c r="B235" s="226"/>
      <c r="C235" s="74"/>
      <c r="D235" s="173">
        <f>Data!C$86</f>
        <v>0.91300000000000003</v>
      </c>
      <c r="E235" s="173">
        <f>Data!D$86</f>
        <v>0.40899999999999997</v>
      </c>
      <c r="F235" s="173">
        <f>Data!E$86</f>
        <v>0.42799999999999999</v>
      </c>
      <c r="G235" s="173">
        <f>Data!F$86</f>
        <v>0.308</v>
      </c>
      <c r="H235" s="173">
        <f>Data!G$86</f>
        <v>0.40500000000000003</v>
      </c>
      <c r="I235" s="173">
        <f>Data!H$86</f>
        <v>-0.51200000000000001</v>
      </c>
      <c r="J235" s="127">
        <f>Data!I$86</f>
        <v>-0.88300000000000001</v>
      </c>
      <c r="K235" s="127">
        <f>Data!J$86</f>
        <v>-1.0269999999999999</v>
      </c>
      <c r="L235" s="127">
        <f>Data!K$86</f>
        <v>-1.141</v>
      </c>
      <c r="M235" s="127">
        <f>Data!L$86</f>
        <v>-1.288</v>
      </c>
      <c r="N235" s="127">
        <f>Data!M$86</f>
        <v>-1.341</v>
      </c>
      <c r="O235" s="269">
        <f t="shared" ref="O235:X235" si="119">IF(O$2="Proj Yr1",0,N$235)</f>
        <v>0</v>
      </c>
      <c r="P235" s="269">
        <f t="shared" si="119"/>
        <v>0</v>
      </c>
      <c r="Q235" s="269">
        <f t="shared" si="119"/>
        <v>0</v>
      </c>
      <c r="R235" s="269">
        <f t="shared" si="119"/>
        <v>0</v>
      </c>
      <c r="S235" s="269">
        <f t="shared" si="119"/>
        <v>0</v>
      </c>
      <c r="T235" s="269">
        <f t="shared" si="119"/>
        <v>0</v>
      </c>
      <c r="U235" s="269">
        <f t="shared" si="119"/>
        <v>0</v>
      </c>
      <c r="V235" s="269">
        <f t="shared" si="119"/>
        <v>0</v>
      </c>
      <c r="W235" s="269">
        <f t="shared" si="119"/>
        <v>0</v>
      </c>
      <c r="X235" s="269">
        <f t="shared" si="119"/>
        <v>0</v>
      </c>
    </row>
    <row r="236" spans="1:24" x14ac:dyDescent="0.2">
      <c r="A236" s="27" t="s">
        <v>400</v>
      </c>
      <c r="C236" s="74"/>
      <c r="D236" s="71">
        <f t="shared" ref="D236:X236" si="120">SUM(D$234,D$235)</f>
        <v>36.805</v>
      </c>
      <c r="E236" s="71">
        <f t="shared" si="120"/>
        <v>37.744999999999997</v>
      </c>
      <c r="F236" s="71">
        <f t="shared" si="120"/>
        <v>50.972999999999999</v>
      </c>
      <c r="G236" s="71">
        <f t="shared" si="120"/>
        <v>58.890999999999998</v>
      </c>
      <c r="H236" s="71">
        <f t="shared" si="120"/>
        <v>77.290000000000006</v>
      </c>
      <c r="I236" s="71">
        <f t="shared" si="120"/>
        <v>84.168000000000006</v>
      </c>
      <c r="J236" s="128">
        <f t="shared" si="120"/>
        <v>84.427000000000007</v>
      </c>
      <c r="K236" s="128">
        <f t="shared" si="120"/>
        <v>93.477000000000004</v>
      </c>
      <c r="L236" s="128">
        <f t="shared" si="120"/>
        <v>88.947999999999993</v>
      </c>
      <c r="M236" s="128">
        <f t="shared" si="120"/>
        <v>93.296000000000006</v>
      </c>
      <c r="N236" s="128">
        <f t="shared" si="120"/>
        <v>99.736000000000004</v>
      </c>
      <c r="O236" s="75">
        <f t="shared" ca="1" si="120"/>
        <v>99.400447655023413</v>
      </c>
      <c r="P236" s="75">
        <f t="shared" ca="1" si="120"/>
        <v>95.730164309736054</v>
      </c>
      <c r="Q236" s="75">
        <f t="shared" ca="1" si="120"/>
        <v>89.980577851751605</v>
      </c>
      <c r="R236" s="75">
        <f t="shared" ca="1" si="120"/>
        <v>83.907753298496971</v>
      </c>
      <c r="S236" s="75">
        <f t="shared" ca="1" si="120"/>
        <v>76.051347435024255</v>
      </c>
      <c r="T236" s="75">
        <f t="shared" ca="1" si="120"/>
        <v>66.136641952618845</v>
      </c>
      <c r="U236" s="75">
        <f t="shared" ca="1" si="120"/>
        <v>53.997932949686721</v>
      </c>
      <c r="V236" s="75">
        <f t="shared" ca="1" si="120"/>
        <v>39.403645302380411</v>
      </c>
      <c r="W236" s="75">
        <f t="shared" ca="1" si="120"/>
        <v>22.163806052542913</v>
      </c>
      <c r="X236" s="75">
        <f t="shared" ca="1" si="120"/>
        <v>2.028194466909921</v>
      </c>
    </row>
    <row r="237" spans="1:24" ht="13.5" x14ac:dyDescent="0.25">
      <c r="A237" s="413" t="s">
        <v>1052</v>
      </c>
      <c r="C237" s="74"/>
      <c r="D237" s="69">
        <f t="shared" ref="D237:N237" si="121">D$234</f>
        <v>35.892000000000003</v>
      </c>
      <c r="E237" s="69">
        <f t="shared" si="121"/>
        <v>37.335999999999999</v>
      </c>
      <c r="F237" s="69">
        <f t="shared" si="121"/>
        <v>50.545000000000002</v>
      </c>
      <c r="G237" s="69">
        <f t="shared" si="121"/>
        <v>58.582999999999998</v>
      </c>
      <c r="H237" s="69">
        <f t="shared" si="121"/>
        <v>76.885000000000005</v>
      </c>
      <c r="I237" s="69">
        <f t="shared" si="121"/>
        <v>84.68</v>
      </c>
      <c r="J237" s="414">
        <f t="shared" si="121"/>
        <v>85.31</v>
      </c>
      <c r="K237" s="414">
        <f t="shared" si="121"/>
        <v>94.504000000000005</v>
      </c>
      <c r="L237" s="414">
        <f t="shared" si="121"/>
        <v>90.088999999999999</v>
      </c>
      <c r="M237" s="414">
        <f t="shared" si="121"/>
        <v>94.584000000000003</v>
      </c>
      <c r="N237" s="414">
        <f t="shared" si="121"/>
        <v>101.077</v>
      </c>
      <c r="O237" s="98">
        <f ca="1">N$237+(O$34-N$34)-(O$36-N$36)-O$24 + IF(AND(OFFSET(Scenarios!$A$37,0,$C$1)="Yes",O$4&gt;=OFFSET(Scenarios!$A$38,0,$C$1),O$4&lt;=OFFSET(Scenarios!$A$39,0,$C$1)),OFFSET(Scenarios!$A$40,0,$C$1)*(1+OFFSET(Scenarios!$A$41,0,$C$1))^MAX(0,O$4-OFFSET(Scenarios!$A$38,0,$C$1)),0)</f>
        <v>99.400447655023413</v>
      </c>
      <c r="P237" s="98">
        <f ca="1">O$237+(P$34-O$34)-(P$36-O$36)-P$24 + IF(AND(OFFSET(Scenarios!$A$37,0,$C$1)="Yes",P$4&gt;=OFFSET(Scenarios!$A$38,0,$C$1),P$4&lt;=OFFSET(Scenarios!$A$39,0,$C$1)),OFFSET(Scenarios!$A$40,0,$C$1)*(1+OFFSET(Scenarios!$A$41,0,$C$1))^MAX(0,P$4-OFFSET(Scenarios!$A$38,0,$C$1)),0)</f>
        <v>95.730164309736054</v>
      </c>
      <c r="Q237" s="98">
        <f ca="1">P$237+(Q$34-P$34)-(Q$36-P$36)-Q$24 + IF(AND(OFFSET(Scenarios!$A$37,0,$C$1)="Yes",Q$4&gt;=OFFSET(Scenarios!$A$38,0,$C$1),Q$4&lt;=OFFSET(Scenarios!$A$39,0,$C$1)),OFFSET(Scenarios!$A$40,0,$C$1)*(1+OFFSET(Scenarios!$A$41,0,$C$1))^MAX(0,Q$4-OFFSET(Scenarios!$A$38,0,$C$1)),0)</f>
        <v>89.980577851751605</v>
      </c>
      <c r="R237" s="98">
        <f ca="1">Q$237+(R$34-Q$34)-(R$36-Q$36)-R$24 + IF(AND(OFFSET(Scenarios!$A$37,0,$C$1)="Yes",R$4&gt;=OFFSET(Scenarios!$A$38,0,$C$1),R$4&lt;=OFFSET(Scenarios!$A$39,0,$C$1)),OFFSET(Scenarios!$A$40,0,$C$1)*(1+OFFSET(Scenarios!$A$41,0,$C$1))^MAX(0,R$4-OFFSET(Scenarios!$A$38,0,$C$1)),0)</f>
        <v>83.907753298496971</v>
      </c>
      <c r="S237" s="98">
        <f ca="1">R$237+(S$34-R$34)-(S$36-R$36)-S$24 + IF(AND(OFFSET(Scenarios!$A$37,0,$C$1)="Yes",S$4&gt;=OFFSET(Scenarios!$A$38,0,$C$1),S$4&lt;=OFFSET(Scenarios!$A$39,0,$C$1)),OFFSET(Scenarios!$A$40,0,$C$1)*(1+OFFSET(Scenarios!$A$41,0,$C$1))^MAX(0,S$4-OFFSET(Scenarios!$A$38,0,$C$1)),0)</f>
        <v>76.051347435024255</v>
      </c>
      <c r="T237" s="98">
        <f ca="1">S$237+(T$34-S$34)-(T$36-S$36)-T$24 + IF(AND(OFFSET(Scenarios!$A$37,0,$C$1)="Yes",T$4&gt;=OFFSET(Scenarios!$A$38,0,$C$1),T$4&lt;=OFFSET(Scenarios!$A$39,0,$C$1)),OFFSET(Scenarios!$A$40,0,$C$1)*(1+OFFSET(Scenarios!$A$41,0,$C$1))^MAX(0,T$4-OFFSET(Scenarios!$A$38,0,$C$1)),0)</f>
        <v>66.136641952618845</v>
      </c>
      <c r="U237" s="98">
        <f ca="1">T$237+(U$34-T$34)-(U$36-T$36)-U$24 + IF(AND(OFFSET(Scenarios!$A$37,0,$C$1)="Yes",U$4&gt;=OFFSET(Scenarios!$A$38,0,$C$1),U$4&lt;=OFFSET(Scenarios!$A$39,0,$C$1)),OFFSET(Scenarios!$A$40,0,$C$1)*(1+OFFSET(Scenarios!$A$41,0,$C$1))^MAX(0,U$4-OFFSET(Scenarios!$A$38,0,$C$1)),0)</f>
        <v>53.997932949686721</v>
      </c>
      <c r="V237" s="98">
        <f ca="1">U$237+(V$34-U$34)-(V$36-U$36)-V$24 + IF(AND(OFFSET(Scenarios!$A$37,0,$C$1)="Yes",V$4&gt;=OFFSET(Scenarios!$A$38,0,$C$1),V$4&lt;=OFFSET(Scenarios!$A$39,0,$C$1)),OFFSET(Scenarios!$A$40,0,$C$1)*(1+OFFSET(Scenarios!$A$41,0,$C$1))^MAX(0,V$4-OFFSET(Scenarios!$A$38,0,$C$1)),0)</f>
        <v>39.403645302380411</v>
      </c>
      <c r="W237" s="98">
        <f ca="1">V$237+(W$34-V$34)-(W$36-V$36)-W$24 + IF(AND(OFFSET(Scenarios!$A$37,0,$C$1)="Yes",W$4&gt;=OFFSET(Scenarios!$A$38,0,$C$1),W$4&lt;=OFFSET(Scenarios!$A$39,0,$C$1)),OFFSET(Scenarios!$A$40,0,$C$1)*(1+OFFSET(Scenarios!$A$41,0,$C$1))^MAX(0,W$4-OFFSET(Scenarios!$A$38,0,$C$1)),0)</f>
        <v>22.163806052542913</v>
      </c>
      <c r="X237" s="98">
        <f ca="1">W$237+(X$34-W$34)-(X$36-W$36)-X$24 + IF(AND(OFFSET(Scenarios!$A$37,0,$C$1)="Yes",X$4&gt;=OFFSET(Scenarios!$A$38,0,$C$1),X$4&lt;=OFFSET(Scenarios!$A$39,0,$C$1)),OFFSET(Scenarios!$A$40,0,$C$1)*(1+OFFSET(Scenarios!$A$41,0,$C$1))^MAX(0,X$4-OFFSET(Scenarios!$A$38,0,$C$1)),0)</f>
        <v>2.028194466909921</v>
      </c>
    </row>
    <row r="238" spans="1:24" x14ac:dyDescent="0.2">
      <c r="A238" s="106" t="s">
        <v>666</v>
      </c>
      <c r="B238" s="226"/>
      <c r="C238" s="74"/>
      <c r="D238" s="69">
        <f>SUM(Data!C$95,-Data!C$96)</f>
        <v>6.1579999999999995</v>
      </c>
      <c r="E238" s="69">
        <f>SUM(Data!D$95,-Data!D$96)</f>
        <v>6.3550000000000004</v>
      </c>
      <c r="F238" s="69">
        <f>SUM(Data!E$95,-Data!E$96)</f>
        <v>7.6170000000000009</v>
      </c>
      <c r="G238" s="69">
        <f>SUM(Data!F$95,-Data!F$96)</f>
        <v>5.3000000000000007</v>
      </c>
      <c r="H238" s="69">
        <f>SUM(Data!G$95,-Data!G$96)</f>
        <v>4.8699999999999992</v>
      </c>
      <c r="I238" s="69">
        <f>SUM(Data!H$95,-Data!H$96)</f>
        <v>4.5329999999999995</v>
      </c>
      <c r="J238" s="103">
        <f>SUM(Data!I$95,-Data!I$96)</f>
        <v>5.7910000000000004</v>
      </c>
      <c r="K238" s="103">
        <f>SUM(Data!J$95,-Data!J$96)</f>
        <v>5.7910000000000004</v>
      </c>
      <c r="L238" s="103">
        <f>SUM(Data!K$95,-Data!K$96)</f>
        <v>5.7910000000000004</v>
      </c>
      <c r="M238" s="103">
        <f>SUM(Data!L$95,-Data!L$96)</f>
        <v>5.7910000000000004</v>
      </c>
      <c r="N238" s="103">
        <f>SUM(Data!M$95,-Data!M$96)</f>
        <v>5.7910000000000004</v>
      </c>
      <c r="O238" s="73">
        <f t="shared" ref="O238:X238" si="122">N$238</f>
        <v>5.7910000000000004</v>
      </c>
      <c r="P238" s="73">
        <f t="shared" si="122"/>
        <v>5.7910000000000004</v>
      </c>
      <c r="Q238" s="73">
        <f t="shared" si="122"/>
        <v>5.7910000000000004</v>
      </c>
      <c r="R238" s="73">
        <f t="shared" si="122"/>
        <v>5.7910000000000004</v>
      </c>
      <c r="S238" s="73">
        <f t="shared" si="122"/>
        <v>5.7910000000000004</v>
      </c>
      <c r="T238" s="73">
        <f t="shared" si="122"/>
        <v>5.7910000000000004</v>
      </c>
      <c r="U238" s="73">
        <f t="shared" si="122"/>
        <v>5.7910000000000004</v>
      </c>
      <c r="V238" s="73">
        <f t="shared" si="122"/>
        <v>5.7910000000000004</v>
      </c>
      <c r="W238" s="73">
        <f t="shared" si="122"/>
        <v>5.7910000000000004</v>
      </c>
      <c r="X238" s="73">
        <f t="shared" si="122"/>
        <v>5.7910000000000004</v>
      </c>
    </row>
    <row r="239" spans="1:24" x14ac:dyDescent="0.2">
      <c r="A239" s="106"/>
      <c r="B239" s="69"/>
      <c r="C239" s="69"/>
      <c r="D239" s="69"/>
      <c r="E239" s="69"/>
      <c r="F239" s="69"/>
      <c r="G239" s="69"/>
      <c r="H239" s="69"/>
      <c r="I239" s="69"/>
      <c r="J239" s="103"/>
      <c r="K239" s="103"/>
      <c r="L239" s="103"/>
      <c r="M239" s="103"/>
      <c r="N239" s="103"/>
    </row>
    <row r="240" spans="1:24" x14ac:dyDescent="0.2">
      <c r="A240" s="106"/>
      <c r="C240" s="74"/>
      <c r="D240" s="72"/>
      <c r="E240" s="72"/>
      <c r="F240" s="72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</row>
    <row r="241" spans="1:24" ht="15.75" x14ac:dyDescent="0.25">
      <c r="A241" s="150" t="s">
        <v>386</v>
      </c>
      <c r="D241" s="160" t="s">
        <v>442</v>
      </c>
      <c r="E241" s="160" t="s">
        <v>443</v>
      </c>
      <c r="F241" s="160" t="s">
        <v>444</v>
      </c>
      <c r="G241" s="160" t="s">
        <v>445</v>
      </c>
      <c r="H241" s="160" t="s">
        <v>446</v>
      </c>
      <c r="I241" s="160" t="s">
        <v>447</v>
      </c>
      <c r="J241" s="137" t="s">
        <v>448</v>
      </c>
      <c r="K241" s="137" t="s">
        <v>449</v>
      </c>
      <c r="L241" s="137" t="s">
        <v>450</v>
      </c>
      <c r="M241" s="137" t="s">
        <v>451</v>
      </c>
      <c r="N241" s="137" t="s">
        <v>452</v>
      </c>
      <c r="O241" s="136" t="s">
        <v>453</v>
      </c>
      <c r="P241" s="136" t="s">
        <v>454</v>
      </c>
      <c r="Q241" s="136" t="s">
        <v>455</v>
      </c>
      <c r="R241" s="136" t="s">
        <v>456</v>
      </c>
      <c r="S241" s="136" t="s">
        <v>457</v>
      </c>
      <c r="T241" s="136" t="s">
        <v>458</v>
      </c>
      <c r="U241" s="136" t="s">
        <v>459</v>
      </c>
      <c r="V241" s="136" t="s">
        <v>460</v>
      </c>
      <c r="W241" s="136" t="s">
        <v>461</v>
      </c>
      <c r="X241" s="136" t="s">
        <v>462</v>
      </c>
    </row>
    <row r="242" spans="1:24" x14ac:dyDescent="0.2">
      <c r="A242" s="27" t="s">
        <v>154</v>
      </c>
      <c r="B242" s="226"/>
      <c r="D242" s="69">
        <f>Data!C$227</f>
        <v>138.547</v>
      </c>
      <c r="E242" s="69">
        <f>Data!D$227</f>
        <v>141.029</v>
      </c>
      <c r="F242" s="69">
        <f>Data!E$227</f>
        <v>137.75800000000001</v>
      </c>
      <c r="G242" s="69">
        <f>Data!F$227</f>
        <v>139.03299999999999</v>
      </c>
      <c r="H242" s="69">
        <f>Data!G$227</f>
        <v>140.298</v>
      </c>
      <c r="I242" s="69">
        <f>Data!H$227</f>
        <v>143.661</v>
      </c>
      <c r="J242" s="123">
        <f ca="1">IF(OR($F$1="Yes",$O$1="Yes"),OFFSET('Forecast Adjuster'!$A$47,0,J$289),Data!I$227)</f>
        <v>147.26900000000001</v>
      </c>
      <c r="K242" s="123">
        <f ca="1">IF(OR($F$1="Yes",$O$1="Yes"),OFFSET('Forecast Adjuster'!$A$47,0,K$289),Data!J$227)</f>
        <v>150.965</v>
      </c>
      <c r="L242" s="123">
        <f ca="1">IF(OR($F$1="Yes",$O$1="Yes"),OFFSET('Forecast Adjuster'!$A$47,0,L$289),Data!K$227)</f>
        <v>155.36500000000001</v>
      </c>
      <c r="M242" s="123">
        <f ca="1">IF(OR($F$1="Yes",$O$1="Yes"),OFFSET('Forecast Adjuster'!$A$47,0,M$289),Data!L$227)</f>
        <v>159.32400000000001</v>
      </c>
      <c r="N242" s="123">
        <f ca="1">IF(OR($F$1="Yes",$O$1="Yes"),OFFSET('Forecast Adjuster'!$A$47,0,N$289),Data!M$227)</f>
        <v>162.82300000000001</v>
      </c>
      <c r="O242" s="98">
        <f ca="1">IF(OR($F$1="Yes",$O$1="Yes"),OFFSET('Forecast Adjuster'!$A$47,0,O$289),IF(O$4&lt;=OFFSET(Scenarios!$A$14,0,$C$1),Data!Q$227,N$242*(1+O$259)*(O$251*(1-O$254)*O$257)/(N$251*(1-N$254)*N$257)))</f>
        <v>166.73099999999999</v>
      </c>
      <c r="P242" s="98">
        <f ca="1">IF(OR($F$1="Yes",$O$1="Yes"),OFFSET('Forecast Adjuster'!$A$47,0,P$289),IF(P$4&lt;=OFFSET(Scenarios!$A$14,0,$C$1),Data!R$227,O$242*(1+P$259)*(P$251*(1-P$254)*P$257)/(O$251*(1-O$254)*O$257)))</f>
        <v>170.816</v>
      </c>
      <c r="Q242" s="98">
        <f ca="1">IF(Q$4&lt;=OFFSET(Scenarios!$A$14,0,$C$1),Data!S$227,P$242*(1+Q$259)*(Q$251*(1-Q$254)*Q$257)/(P$251*(1-P$254)*P$257))</f>
        <v>175.19413233480074</v>
      </c>
      <c r="R242" s="98">
        <f ca="1">IF(R$4&lt;=OFFSET(Scenarios!$A$14,0,$C$1),Data!T$227,Q$242*(1+R$259)*(R$251*(1-R$254)*R$257)/(Q$251*(1-Q$254)*Q$257))</f>
        <v>179.70555311287791</v>
      </c>
      <c r="S242" s="98">
        <f ca="1">IF(S$4&lt;=OFFSET(Scenarios!$A$14,0,$C$1),Data!U$227,R$242*(1+S$259)*(S$251*(1-S$254)*S$257)/(R$251*(1-R$254)*R$257))</f>
        <v>184.28370841115802</v>
      </c>
      <c r="T242" s="98">
        <f ca="1">IF(T$4&lt;=OFFSET(Scenarios!$A$14,0,$C$1),Data!V$227,S$242*(1+T$259)*(T$251*(1-T$254)*T$257)/(S$251*(1-S$254)*S$257))</f>
        <v>188.82743504137997</v>
      </c>
      <c r="U242" s="98">
        <f ca="1">IF(U$4&lt;=OFFSET(Scenarios!$A$14,0,$C$1),Data!W$227,T$242*(1+U$259)*(U$251*(1-U$254)*U$257)/(T$251*(1-T$254)*T$257))</f>
        <v>193.3507163777592</v>
      </c>
      <c r="V242" s="98">
        <f ca="1">IF(V$4&lt;=OFFSET(Scenarios!$A$14,0,$C$1),Data!X$227,U$242*(1+V$259)*(V$251*(1-V$254)*V$257)/(U$251*(1-U$254)*U$257))</f>
        <v>197.93504401774433</v>
      </c>
      <c r="W242" s="98">
        <f ca="1">IF(W$4&lt;=OFFSET(Scenarios!$A$14,0,$C$1),Data!Y$227,V$242*(1+W$259)*(W$251*(1-W$254)*W$257)/(V$251*(1-V$254)*V$257))</f>
        <v>202.52125638601046</v>
      </c>
      <c r="X242" s="98">
        <f ca="1">IF(X$4&lt;=OFFSET(Scenarios!$A$14,0,$C$1),Data!Z$227,W$242*(1+X$259)*(X$251*(1-X$254)*X$257)/(W$251*(1-W$254)*W$257))</f>
        <v>207.08564071693715</v>
      </c>
    </row>
    <row r="243" spans="1:24" x14ac:dyDescent="0.2">
      <c r="A243" s="159" t="s">
        <v>136</v>
      </c>
      <c r="D243" s="117"/>
      <c r="E243" s="117">
        <f t="shared" ref="E243:X243" si="123">E$242/D$242-1</f>
        <v>1.791449832908687E-2</v>
      </c>
      <c r="F243" s="117">
        <f t="shared" si="123"/>
        <v>-2.3193811201951298E-2</v>
      </c>
      <c r="G243" s="117">
        <f t="shared" si="123"/>
        <v>9.2553608501864115E-3</v>
      </c>
      <c r="H243" s="117">
        <f t="shared" si="123"/>
        <v>9.0985593348342775E-3</v>
      </c>
      <c r="I243" s="117">
        <f t="shared" si="123"/>
        <v>2.3970405850404219E-2</v>
      </c>
      <c r="J243" s="121">
        <f t="shared" ca="1" si="123"/>
        <v>2.5114679697343156E-2</v>
      </c>
      <c r="K243" s="121">
        <f t="shared" ca="1" si="123"/>
        <v>2.5096931465549366E-2</v>
      </c>
      <c r="L243" s="121">
        <f t="shared" ca="1" si="123"/>
        <v>2.9145828503295501E-2</v>
      </c>
      <c r="M243" s="121">
        <f t="shared" ca="1" si="123"/>
        <v>2.5481929649534996E-2</v>
      </c>
      <c r="N243" s="121">
        <f t="shared" ca="1" si="123"/>
        <v>2.1961537495920336E-2</v>
      </c>
      <c r="O243" s="118">
        <f t="shared" ca="1" si="123"/>
        <v>2.4001523126339519E-2</v>
      </c>
      <c r="P243" s="118">
        <f t="shared" ca="1" si="123"/>
        <v>2.4500542790482971E-2</v>
      </c>
      <c r="Q243" s="118">
        <f t="shared" ca="1" si="123"/>
        <v>2.5630692293466373E-2</v>
      </c>
      <c r="R243" s="118">
        <f t="shared" ca="1" si="123"/>
        <v>2.5750981028609621E-2</v>
      </c>
      <c r="S243" s="118">
        <f t="shared" ca="1" si="123"/>
        <v>2.5475869938222928E-2</v>
      </c>
      <c r="T243" s="118">
        <f t="shared" ca="1" si="123"/>
        <v>2.465614931128024E-2</v>
      </c>
      <c r="U243" s="118">
        <f t="shared" ca="1" si="123"/>
        <v>2.395457702101389E-2</v>
      </c>
      <c r="V243" s="118">
        <f t="shared" ca="1" si="123"/>
        <v>2.3709907704859479E-2</v>
      </c>
      <c r="W243" s="118">
        <f t="shared" ca="1" si="123"/>
        <v>2.3170289985915637E-2</v>
      </c>
      <c r="X243" s="118">
        <f t="shared" ca="1" si="123"/>
        <v>2.2537803746520702E-2</v>
      </c>
    </row>
    <row r="244" spans="1:24" x14ac:dyDescent="0.2">
      <c r="A244" s="27" t="s">
        <v>119</v>
      </c>
      <c r="B244" s="226"/>
      <c r="D244" s="69">
        <f>Data!C$228</f>
        <v>173.214</v>
      </c>
      <c r="E244" s="69">
        <f>Data!D$228</f>
        <v>185.678</v>
      </c>
      <c r="F244" s="69">
        <f>Data!E$228</f>
        <v>185.48699999999999</v>
      </c>
      <c r="G244" s="69">
        <f>Data!F$228</f>
        <v>191.798</v>
      </c>
      <c r="H244" s="69">
        <f>Data!G$228</f>
        <v>200.23400000000001</v>
      </c>
      <c r="I244" s="69">
        <f>Data!H$228</f>
        <v>208.46700000000001</v>
      </c>
      <c r="J244" s="123">
        <f ca="1">IF(OR($F$1="Yes",$O$1="Yes"),OFFSET('Forecast Adjuster'!$A$48,0,J$289),Data!I$228)</f>
        <v>213.84399999999999</v>
      </c>
      <c r="K244" s="123">
        <f ca="1">IF(OR($F$1="Yes",$O$1="Yes"),OFFSET('Forecast Adjuster'!$A$48,0,K$289),Data!J$228)</f>
        <v>227.892</v>
      </c>
      <c r="L244" s="123">
        <f ca="1">IF(OR($F$1="Yes",$O$1="Yes"),OFFSET('Forecast Adjuster'!$A$48,0,L$289),Data!K$228)</f>
        <v>237.95400000000001</v>
      </c>
      <c r="M244" s="123">
        <f ca="1">IF(OR($F$1="Yes",$O$1="Yes"),OFFSET('Forecast Adjuster'!$A$48,0,M$289),Data!L$228)</f>
        <v>248.00399999999999</v>
      </c>
      <c r="N244" s="123">
        <f ca="1">IF(OR($F$1="Yes",$O$1="Yes"),OFFSET('Forecast Adjuster'!$A$48,0,N$289),Data!M$228)</f>
        <v>257.21899999999999</v>
      </c>
      <c r="O244" s="73">
        <f t="shared" ref="O244:X244" ca="1" si="124">N$244*(O$242/N$242)*(1+O$247)</f>
        <v>268.76114156841584</v>
      </c>
      <c r="P244" s="73">
        <f t="shared" ca="1" si="124"/>
        <v>280.8528541261885</v>
      </c>
      <c r="Q244" s="73">
        <f t="shared" ca="1" si="124"/>
        <v>293.81233335423946</v>
      </c>
      <c r="R244" s="73">
        <f t="shared" ca="1" si="124"/>
        <v>307.40585495994429</v>
      </c>
      <c r="S244" s="73">
        <f t="shared" ca="1" si="124"/>
        <v>321.54203226993513</v>
      </c>
      <c r="T244" s="73">
        <f t="shared" ca="1" si="124"/>
        <v>336.05942103998382</v>
      </c>
      <c r="U244" s="73">
        <f t="shared" ca="1" si="124"/>
        <v>350.99177397142194</v>
      </c>
      <c r="V244" s="73">
        <f t="shared" ca="1" si="124"/>
        <v>366.50003166819823</v>
      </c>
      <c r="W244" s="73">
        <f t="shared" ca="1" si="124"/>
        <v>382.49178255543359</v>
      </c>
      <c r="X244" s="73">
        <f t="shared" ca="1" si="124"/>
        <v>398.93455343103136</v>
      </c>
    </row>
    <row r="245" spans="1:24" x14ac:dyDescent="0.2">
      <c r="A245" s="159" t="s">
        <v>136</v>
      </c>
      <c r="D245" s="117"/>
      <c r="E245" s="117">
        <f t="shared" ref="E245:X245" si="125">E$244/D$244-1</f>
        <v>7.1957232094403523E-2</v>
      </c>
      <c r="F245" s="117">
        <f t="shared" si="125"/>
        <v>-1.0286625232930335E-3</v>
      </c>
      <c r="G245" s="117">
        <f t="shared" si="125"/>
        <v>3.4023947769924678E-2</v>
      </c>
      <c r="H245" s="117">
        <f t="shared" si="125"/>
        <v>4.398377459618974E-2</v>
      </c>
      <c r="I245" s="117">
        <f t="shared" si="125"/>
        <v>4.1116893234915075E-2</v>
      </c>
      <c r="J245" s="121">
        <f t="shared" ca="1" si="125"/>
        <v>2.5793051178363946E-2</v>
      </c>
      <c r="K245" s="121">
        <f t="shared" ca="1" si="125"/>
        <v>6.569274798451219E-2</v>
      </c>
      <c r="L245" s="121">
        <f t="shared" ca="1" si="125"/>
        <v>4.4152493286293559E-2</v>
      </c>
      <c r="M245" s="121">
        <f t="shared" ca="1" si="125"/>
        <v>4.2235053833934222E-2</v>
      </c>
      <c r="N245" s="121">
        <f t="shared" ca="1" si="125"/>
        <v>3.7156658763568329E-2</v>
      </c>
      <c r="O245" s="118">
        <f t="shared" ca="1" si="125"/>
        <v>4.4872818759173372E-2</v>
      </c>
      <c r="P245" s="118">
        <f t="shared" ca="1" si="125"/>
        <v>4.4990553646292675E-2</v>
      </c>
      <c r="Q245" s="118">
        <f t="shared" ca="1" si="125"/>
        <v>4.6143306139335927E-2</v>
      </c>
      <c r="R245" s="118">
        <f t="shared" ca="1" si="125"/>
        <v>4.6266000649181738E-2</v>
      </c>
      <c r="S245" s="118">
        <f t="shared" ca="1" si="125"/>
        <v>4.5985387336987538E-2</v>
      </c>
      <c r="T245" s="118">
        <f t="shared" ca="1" si="125"/>
        <v>4.514927229750576E-2</v>
      </c>
      <c r="U245" s="118">
        <f t="shared" ca="1" si="125"/>
        <v>4.4433668561434159E-2</v>
      </c>
      <c r="V245" s="118">
        <f t="shared" ca="1" si="125"/>
        <v>4.4184105858956713E-2</v>
      </c>
      <c r="W245" s="118">
        <f t="shared" ca="1" si="125"/>
        <v>4.3633695785633808E-2</v>
      </c>
      <c r="X245" s="118">
        <f t="shared" ca="1" si="125"/>
        <v>4.2988559821451222E-2</v>
      </c>
    </row>
    <row r="246" spans="1:24" x14ac:dyDescent="0.2">
      <c r="A246" s="27" t="s">
        <v>120</v>
      </c>
      <c r="B246" s="226"/>
      <c r="D246" s="176">
        <f>Data!C$229</f>
        <v>1020</v>
      </c>
      <c r="E246" s="176">
        <f>Data!D$229</f>
        <v>1061</v>
      </c>
      <c r="F246" s="176">
        <f>Data!E$229</f>
        <v>1081</v>
      </c>
      <c r="G246" s="176">
        <f>Data!F$229</f>
        <v>1099</v>
      </c>
      <c r="H246" s="176">
        <f>Data!G$229</f>
        <v>1157</v>
      </c>
      <c r="I246" s="176">
        <f>Data!H$229</f>
        <v>1168</v>
      </c>
      <c r="J246" s="168">
        <f ca="1">IF(OR($F$1="Yes",$O$1="Yes"),OFFSET('Forecast Adjuster'!$A$49,0,J$289),Data!I$229)</f>
        <v>1180</v>
      </c>
      <c r="K246" s="168">
        <f ca="1">IF(OR($F$1="Yes",$O$1="Yes"),OFFSET('Forecast Adjuster'!$A$49,0,K$289),Data!J$229)</f>
        <v>1202</v>
      </c>
      <c r="L246" s="168">
        <f ca="1">IF(OR($F$1="Yes",$O$1="Yes"),OFFSET('Forecast Adjuster'!$A$49,0,L$289),Data!K$229)</f>
        <v>1224</v>
      </c>
      <c r="M246" s="168">
        <f ca="1">IF(OR($F$1="Yes",$O$1="Yes"),OFFSET('Forecast Adjuster'!$A$49,0,M$289),Data!L$229)</f>
        <v>1251</v>
      </c>
      <c r="N246" s="168">
        <f ca="1">IF(OR($F$1="Yes",$O$1="Yes"),OFFSET('Forecast Adjuster'!$A$49,0,N$289),Data!M$229)</f>
        <v>1279</v>
      </c>
      <c r="O246" s="169">
        <f t="shared" ref="O246:X246" ca="1" si="126">N$246*(1+O$247)</f>
        <v>1305.0686986410869</v>
      </c>
      <c r="P246" s="169">
        <f t="shared" ca="1" si="126"/>
        <v>1331.1700726139088</v>
      </c>
      <c r="Q246" s="169">
        <f t="shared" ca="1" si="126"/>
        <v>1357.7934740661869</v>
      </c>
      <c r="R246" s="169">
        <f t="shared" ca="1" si="126"/>
        <v>1384.9493435475108</v>
      </c>
      <c r="S246" s="169">
        <f t="shared" ca="1" si="126"/>
        <v>1412.648330418461</v>
      </c>
      <c r="T246" s="169">
        <f t="shared" ca="1" si="126"/>
        <v>1440.9012970268302</v>
      </c>
      <c r="U246" s="169">
        <f t="shared" ca="1" si="126"/>
        <v>1469.7193229673669</v>
      </c>
      <c r="V246" s="169">
        <f t="shared" ca="1" si="126"/>
        <v>1499.1137094267142</v>
      </c>
      <c r="W246" s="169">
        <f t="shared" ca="1" si="126"/>
        <v>1529.0959836152485</v>
      </c>
      <c r="X246" s="169">
        <f t="shared" ca="1" si="126"/>
        <v>1559.6779032875536</v>
      </c>
    </row>
    <row r="247" spans="1:24" x14ac:dyDescent="0.2">
      <c r="A247" s="159" t="s">
        <v>136</v>
      </c>
      <c r="D247" s="117"/>
      <c r="E247" s="117">
        <f t="shared" ref="E247:N247" si="127">E$246/D$246-1</f>
        <v>4.0196078431372628E-2</v>
      </c>
      <c r="F247" s="117">
        <f t="shared" si="127"/>
        <v>1.8850141376060225E-2</v>
      </c>
      <c r="G247" s="117">
        <f t="shared" si="127"/>
        <v>1.6651248843663202E-2</v>
      </c>
      <c r="H247" s="117">
        <f t="shared" si="127"/>
        <v>5.277525022747942E-2</v>
      </c>
      <c r="I247" s="117">
        <f t="shared" si="127"/>
        <v>9.5073465859982775E-3</v>
      </c>
      <c r="J247" s="121">
        <f t="shared" ca="1" si="127"/>
        <v>1.0273972602739656E-2</v>
      </c>
      <c r="K247" s="121">
        <f t="shared" ca="1" si="127"/>
        <v>1.8644067796610209E-2</v>
      </c>
      <c r="L247" s="121">
        <f t="shared" ca="1" si="127"/>
        <v>1.830282861896837E-2</v>
      </c>
      <c r="M247" s="121">
        <f t="shared" ca="1" si="127"/>
        <v>2.2058823529411686E-2</v>
      </c>
      <c r="N247" s="121">
        <f t="shared" ca="1" si="127"/>
        <v>2.2382094324540303E-2</v>
      </c>
      <c r="O247" s="118">
        <f ca="1">IF(N$247&lt;OFFSET(Scenarios!$A$7,0,$C$1),MIN(N$247+OFFSET(Scenarios!$A$15,0,$C$1),OFFSET(Scenarios!$A$7,0,$C$1)),MAX(N$247-OFFSET(Scenarios!$A$15,0,$C$1),OFFSET(Scenarios!$A$7,0,$C$1)))</f>
        <v>2.0382094324540301E-2</v>
      </c>
      <c r="P247" s="118">
        <f ca="1">IF(O$247&lt;OFFSET(Scenarios!$A$7,0,$C$1),MIN(O$247+OFFSET(Scenarios!$A$15,0,$C$1),OFFSET(Scenarios!$A$7,0,$C$1)),MAX(O$247-OFFSET(Scenarios!$A$15,0,$C$1),OFFSET(Scenarios!$A$7,0,$C$1)))</f>
        <v>0.02</v>
      </c>
      <c r="Q247" s="118">
        <f ca="1">IF(P$247&lt;OFFSET(Scenarios!$A$7,0,$C$1),MIN(P$247+OFFSET(Scenarios!$A$15,0,$C$1),OFFSET(Scenarios!$A$7,0,$C$1)),MAX(P$247-OFFSET(Scenarios!$A$15,0,$C$1),OFFSET(Scenarios!$A$7,0,$C$1)))</f>
        <v>0.02</v>
      </c>
      <c r="R247" s="118">
        <f ca="1">IF(Q$247&lt;OFFSET(Scenarios!$A$7,0,$C$1),MIN(Q$247+OFFSET(Scenarios!$A$15,0,$C$1),OFFSET(Scenarios!$A$7,0,$C$1)),MAX(Q$247-OFFSET(Scenarios!$A$15,0,$C$1),OFFSET(Scenarios!$A$7,0,$C$1)))</f>
        <v>0.02</v>
      </c>
      <c r="S247" s="118">
        <f ca="1">IF(R$247&lt;OFFSET(Scenarios!$A$7,0,$C$1),MIN(R$247+OFFSET(Scenarios!$A$15,0,$C$1),OFFSET(Scenarios!$A$7,0,$C$1)),MAX(R$247-OFFSET(Scenarios!$A$15,0,$C$1),OFFSET(Scenarios!$A$7,0,$C$1)))</f>
        <v>0.02</v>
      </c>
      <c r="T247" s="118">
        <f ca="1">IF(S$247&lt;OFFSET(Scenarios!$A$7,0,$C$1),MIN(S$247+OFFSET(Scenarios!$A$15,0,$C$1),OFFSET(Scenarios!$A$7,0,$C$1)),MAX(S$247-OFFSET(Scenarios!$A$15,0,$C$1),OFFSET(Scenarios!$A$7,0,$C$1)))</f>
        <v>0.02</v>
      </c>
      <c r="U247" s="118">
        <f ca="1">IF(T$247&lt;OFFSET(Scenarios!$A$7,0,$C$1),MIN(T$247+OFFSET(Scenarios!$A$15,0,$C$1),OFFSET(Scenarios!$A$7,0,$C$1)),MAX(T$247-OFFSET(Scenarios!$A$15,0,$C$1),OFFSET(Scenarios!$A$7,0,$C$1)))</f>
        <v>0.02</v>
      </c>
      <c r="V247" s="118">
        <f ca="1">IF(U$247&lt;OFFSET(Scenarios!$A$7,0,$C$1),MIN(U$247+OFFSET(Scenarios!$A$15,0,$C$1),OFFSET(Scenarios!$A$7,0,$C$1)),MAX(U$247-OFFSET(Scenarios!$A$15,0,$C$1),OFFSET(Scenarios!$A$7,0,$C$1)))</f>
        <v>0.02</v>
      </c>
      <c r="W247" s="118">
        <f ca="1">IF(V$247&lt;OFFSET(Scenarios!$A$7,0,$C$1),MIN(V$247+OFFSET(Scenarios!$A$15,0,$C$1),OFFSET(Scenarios!$A$7,0,$C$1)),MAX(V$247-OFFSET(Scenarios!$A$15,0,$C$1),OFFSET(Scenarios!$A$7,0,$C$1)))</f>
        <v>0.02</v>
      </c>
      <c r="X247" s="118">
        <f ca="1">IF(W$247&lt;OFFSET(Scenarios!$A$7,0,$C$1),MIN(W$247+OFFSET(Scenarios!$A$15,0,$C$1),OFFSET(Scenarios!$A$7,0,$C$1)),MAX(W$247-OFFSET(Scenarios!$A$15,0,$C$1),OFFSET(Scenarios!$A$7,0,$C$1)))</f>
        <v>0.02</v>
      </c>
    </row>
    <row r="248" spans="1:24" x14ac:dyDescent="0.2">
      <c r="A248" s="27" t="s">
        <v>714</v>
      </c>
      <c r="B248" s="226"/>
      <c r="D248" s="117">
        <f>Data!C$237</f>
        <v>6.4100000000000004E-2</v>
      </c>
      <c r="E248" s="117">
        <f>Data!D$237</f>
        <v>6.8400000000000002E-2</v>
      </c>
      <c r="F248" s="117">
        <f>Data!E$237</f>
        <v>4.9599999999999998E-2</v>
      </c>
      <c r="G248" s="117">
        <f>Data!F$237</f>
        <v>5.0799999999999998E-2</v>
      </c>
      <c r="H248" s="117">
        <f>Data!G$237</f>
        <v>4.4699999999999997E-2</v>
      </c>
      <c r="I248" s="117">
        <f>Data!H$237</f>
        <v>3.5099999999999999E-2</v>
      </c>
      <c r="J248" s="121">
        <f ca="1">IF(OR($F$1="Yes",$O$1="Yes"),OFFSET('Forecast Adjuster'!$A$56,0,J$289),Data!I$237)</f>
        <v>2.9100000000000001E-2</v>
      </c>
      <c r="K248" s="121">
        <f ca="1">IF(OR($F$1="Yes",$O$1="Yes"),OFFSET('Forecast Adjuster'!$A$56,0,K$289),Data!J$237)</f>
        <v>3.3000000000000002E-2</v>
      </c>
      <c r="L248" s="121">
        <f ca="1">IF(OR($F$1="Yes",$O$1="Yes"),OFFSET('Forecast Adjuster'!$A$56,0,L$289),Data!K$237)</f>
        <v>4.1000000000000002E-2</v>
      </c>
      <c r="M248" s="121">
        <f ca="1">IF(OR($F$1="Yes",$O$1="Yes"),OFFSET('Forecast Adjuster'!$A$56,0,M$289),Data!L$237)</f>
        <v>4.7500000000000001E-2</v>
      </c>
      <c r="N248" s="121">
        <f ca="1">IF(OR($F$1="Yes",$O$1="Yes"),OFFSET('Forecast Adjuster'!$A$56,0,N$289),Data!M$237)</f>
        <v>5.0299999999999997E-2</v>
      </c>
      <c r="O248" s="118">
        <f ca="1">IF(N$248&lt;OFFSET(Scenarios!$A$8,0,$C$1),MIN(N$248+OFFSET(Scenarios!$A$16,0,$C$1),OFFSET(Scenarios!$A$8,0,$C$1)),MAX(N$248-OFFSET(Scenarios!$A$16,0,$C$1),OFFSET(Scenarios!$A$8,0,$C$1)))</f>
        <v>5.1299999999999998E-2</v>
      </c>
      <c r="P248" s="118">
        <f ca="1">IF(O$248&lt;OFFSET(Scenarios!$A$8,0,$C$1),MIN(O$248+OFFSET(Scenarios!$A$16,0,$C$1),OFFSET(Scenarios!$A$8,0,$C$1)),MAX(O$248-OFFSET(Scenarios!$A$16,0,$C$1),OFFSET(Scenarios!$A$8,0,$C$1)))</f>
        <v>5.2299999999999999E-2</v>
      </c>
      <c r="Q248" s="118">
        <f ca="1">IF(P$248&lt;OFFSET(Scenarios!$A$8,0,$C$1),MIN(P$248+OFFSET(Scenarios!$A$16,0,$C$1),OFFSET(Scenarios!$A$8,0,$C$1)),MAX(P$248-OFFSET(Scenarios!$A$16,0,$C$1),OFFSET(Scenarios!$A$8,0,$C$1)))</f>
        <v>5.33E-2</v>
      </c>
      <c r="R248" s="118">
        <f ca="1">IF(Q$248&lt;OFFSET(Scenarios!$A$8,0,$C$1),MIN(Q$248+OFFSET(Scenarios!$A$16,0,$C$1),OFFSET(Scenarios!$A$8,0,$C$1)),MAX(Q$248-OFFSET(Scenarios!$A$16,0,$C$1),OFFSET(Scenarios!$A$8,0,$C$1)))</f>
        <v>5.4300000000000001E-2</v>
      </c>
      <c r="S248" s="118">
        <f ca="1">IF(R$248&lt;OFFSET(Scenarios!$A$8,0,$C$1),MIN(R$248+OFFSET(Scenarios!$A$16,0,$C$1),OFFSET(Scenarios!$A$8,0,$C$1)),MAX(R$248-OFFSET(Scenarios!$A$16,0,$C$1),OFFSET(Scenarios!$A$8,0,$C$1)))</f>
        <v>5.5E-2</v>
      </c>
      <c r="T248" s="118">
        <f ca="1">IF(S$248&lt;OFFSET(Scenarios!$A$8,0,$C$1),MIN(S$248+OFFSET(Scenarios!$A$16,0,$C$1),OFFSET(Scenarios!$A$8,0,$C$1)),MAX(S$248-OFFSET(Scenarios!$A$16,0,$C$1),OFFSET(Scenarios!$A$8,0,$C$1)))</f>
        <v>5.5E-2</v>
      </c>
      <c r="U248" s="118">
        <f ca="1">IF(T$248&lt;OFFSET(Scenarios!$A$8,0,$C$1),MIN(T$248+OFFSET(Scenarios!$A$16,0,$C$1),OFFSET(Scenarios!$A$8,0,$C$1)),MAX(T$248-OFFSET(Scenarios!$A$16,0,$C$1),OFFSET(Scenarios!$A$8,0,$C$1)))</f>
        <v>5.5E-2</v>
      </c>
      <c r="V248" s="118">
        <f ca="1">IF(U$248&lt;OFFSET(Scenarios!$A$8,0,$C$1),MIN(U$248+OFFSET(Scenarios!$A$16,0,$C$1),OFFSET(Scenarios!$A$8,0,$C$1)),MAX(U$248-OFFSET(Scenarios!$A$16,0,$C$1),OFFSET(Scenarios!$A$8,0,$C$1)))</f>
        <v>5.5E-2</v>
      </c>
      <c r="W248" s="118">
        <f ca="1">IF(V$248&lt;OFFSET(Scenarios!$A$8,0,$C$1),MIN(V$248+OFFSET(Scenarios!$A$16,0,$C$1),OFFSET(Scenarios!$A$8,0,$C$1)),MAX(V$248-OFFSET(Scenarios!$A$16,0,$C$1),OFFSET(Scenarios!$A$8,0,$C$1)))</f>
        <v>5.5E-2</v>
      </c>
      <c r="X248" s="118">
        <f ca="1">IF(W$248&lt;OFFSET(Scenarios!$A$8,0,$C$1),MIN(W$248+OFFSET(Scenarios!$A$16,0,$C$1),OFFSET(Scenarios!$A$8,0,$C$1)),MAX(W$248-OFFSET(Scenarios!$A$16,0,$C$1),OFFSET(Scenarios!$A$8,0,$C$1)))</f>
        <v>5.5E-2</v>
      </c>
    </row>
    <row r="249" spans="1:24" x14ac:dyDescent="0.2">
      <c r="A249" s="260" t="s">
        <v>798</v>
      </c>
      <c r="B249" s="228"/>
      <c r="D249" s="262">
        <f>Data!C$231</f>
        <v>3.2764000000000002</v>
      </c>
      <c r="E249" s="262">
        <f>Data!D$231</f>
        <v>3.3161999999999998</v>
      </c>
      <c r="F249" s="262">
        <f>Data!E$231</f>
        <v>3.3551000000000002</v>
      </c>
      <c r="G249" s="262">
        <f>Data!F$231</f>
        <v>3.4039999999999999</v>
      </c>
      <c r="H249" s="262">
        <f>Data!G$231</f>
        <v>3.4479000000000002</v>
      </c>
      <c r="I249" s="262">
        <f>Data!H$231</f>
        <v>3.4786000000000001</v>
      </c>
      <c r="J249" s="123">
        <f ca="1">IF(OR($F$1="Yes",$O$1="Yes"),OFFSET('Forecast Adjuster'!$A$57,0,J$289),Data!I$231)</f>
        <v>3.5076000000000001</v>
      </c>
      <c r="K249" s="123">
        <f ca="1">IF(OR($F$1="Yes",$O$1="Yes"),OFFSET('Forecast Adjuster'!$A$57,0,K$289),Data!J$231)</f>
        <v>3.5444</v>
      </c>
      <c r="L249" s="123">
        <f ca="1">IF(OR($F$1="Yes",$O$1="Yes"),OFFSET('Forecast Adjuster'!$A$57,0,L$289),Data!K$231)</f>
        <v>3.5847000000000002</v>
      </c>
      <c r="M249" s="123">
        <f ca="1">IF(OR($F$1="Yes",$O$1="Yes"),OFFSET('Forecast Adjuster'!$A$57,0,M$289),Data!L$231)</f>
        <v>3.6244999999999998</v>
      </c>
      <c r="N249" s="123">
        <f ca="1">IF(OR($F$1="Yes",$O$1="Yes"),OFFSET('Forecast Adjuster'!$A$57,0,N$289),Data!M$231)</f>
        <v>3.6623000000000001</v>
      </c>
      <c r="O249" s="73">
        <f>'Labour Force'!O$4/1000</f>
        <v>3.698946284636619</v>
      </c>
      <c r="P249" s="73">
        <f>'Labour Force'!P$4/1000</f>
        <v>3.7368108371807289</v>
      </c>
      <c r="Q249" s="73">
        <f>'Labour Force'!Q$4/1000</f>
        <v>3.7738108125001681</v>
      </c>
      <c r="R249" s="73">
        <f>'Labour Force'!R$4/1000</f>
        <v>3.8116065918559516</v>
      </c>
      <c r="S249" s="73">
        <f>'Labour Force'!S$4/1000</f>
        <v>3.8514655668615183</v>
      </c>
      <c r="T249" s="73">
        <f>'Labour Force'!T$4/1000</f>
        <v>3.8928866757162064</v>
      </c>
      <c r="U249" s="73">
        <f>'Labour Force'!U$4/1000</f>
        <v>3.9327947744277201</v>
      </c>
      <c r="V249" s="73">
        <f>'Labour Force'!V$4/1000</f>
        <v>3.9726242752097183</v>
      </c>
      <c r="W249" s="73">
        <f>'Labour Force'!W$4/1000</f>
        <v>4.0107049720599957</v>
      </c>
      <c r="X249" s="73">
        <f>'Labour Force'!X$4/1000</f>
        <v>4.0466242258485963</v>
      </c>
    </row>
    <row r="250" spans="1:24" x14ac:dyDescent="0.2">
      <c r="A250" s="159" t="s">
        <v>136</v>
      </c>
      <c r="D250" s="117"/>
      <c r="E250" s="117">
        <f t="shared" ref="E250:X250" si="128">E$249/D$249-1</f>
        <v>1.2147478940300216E-2</v>
      </c>
      <c r="F250" s="117">
        <f t="shared" si="128"/>
        <v>1.1730293709667716E-2</v>
      </c>
      <c r="G250" s="117">
        <f t="shared" si="128"/>
        <v>1.4574826383714212E-2</v>
      </c>
      <c r="H250" s="117">
        <f t="shared" si="128"/>
        <v>1.2896592244418414E-2</v>
      </c>
      <c r="I250" s="117">
        <f t="shared" si="128"/>
        <v>8.9039705327880192E-3</v>
      </c>
      <c r="J250" s="121">
        <f t="shared" ca="1" si="128"/>
        <v>8.3366871730006231E-3</v>
      </c>
      <c r="K250" s="121">
        <f t="shared" ca="1" si="128"/>
        <v>1.0491504162390308E-2</v>
      </c>
      <c r="L250" s="121">
        <f t="shared" ca="1" si="128"/>
        <v>1.1370048527254317E-2</v>
      </c>
      <c r="M250" s="121">
        <f t="shared" ca="1" si="128"/>
        <v>1.1102742209947669E-2</v>
      </c>
      <c r="N250" s="121">
        <f t="shared" ca="1" si="128"/>
        <v>1.0429024693061173E-2</v>
      </c>
      <c r="O250" s="118">
        <f t="shared" ca="1" si="128"/>
        <v>1.0006357927154763E-2</v>
      </c>
      <c r="P250" s="118">
        <f t="shared" si="128"/>
        <v>1.0236578103709704E-2</v>
      </c>
      <c r="Q250" s="118">
        <f t="shared" si="128"/>
        <v>9.9014846968690229E-3</v>
      </c>
      <c r="R250" s="118">
        <f t="shared" si="128"/>
        <v>1.0015281961297751E-2</v>
      </c>
      <c r="S250" s="118">
        <f t="shared" si="128"/>
        <v>1.0457263635426317E-2</v>
      </c>
      <c r="T250" s="118">
        <f t="shared" si="128"/>
        <v>1.0754635640801258E-2</v>
      </c>
      <c r="U250" s="118">
        <f t="shared" si="128"/>
        <v>1.0251543914817862E-2</v>
      </c>
      <c r="V250" s="118">
        <f t="shared" si="128"/>
        <v>1.0127530945927443E-2</v>
      </c>
      <c r="W250" s="118">
        <f t="shared" si="128"/>
        <v>9.5857786219328833E-3</v>
      </c>
      <c r="X250" s="118">
        <f t="shared" si="128"/>
        <v>8.9558454283791278E-3</v>
      </c>
    </row>
    <row r="251" spans="1:24" x14ac:dyDescent="0.2">
      <c r="A251" s="27" t="s">
        <v>189</v>
      </c>
      <c r="B251" s="226"/>
      <c r="D251" s="69">
        <f>Data!C$230</f>
        <v>2.2385000000000002</v>
      </c>
      <c r="E251" s="69">
        <f>Data!D$230</f>
        <v>2.2614999999999998</v>
      </c>
      <c r="F251" s="69">
        <f>Data!E$230</f>
        <v>2.3025000000000002</v>
      </c>
      <c r="G251" s="69">
        <f>Data!F$230</f>
        <v>2.3168000000000002</v>
      </c>
      <c r="H251" s="69">
        <f>Data!G$230</f>
        <v>2.355</v>
      </c>
      <c r="I251" s="69">
        <f>Data!H$230</f>
        <v>2.3809999999999998</v>
      </c>
      <c r="J251" s="123">
        <f ca="1">IF(OR($F$1="Yes",$O$1="Yes"),OFFSET('Forecast Adjuster'!$A$50,0,J$289),Data!I$230)</f>
        <v>2.3733</v>
      </c>
      <c r="K251" s="123">
        <f ca="1">IF(OR($F$1="Yes",$O$1="Yes"),OFFSET('Forecast Adjuster'!$A$50,0,K$289),Data!J$230)</f>
        <v>2.4108000000000001</v>
      </c>
      <c r="L251" s="123">
        <f ca="1">IF(OR($F$1="Yes",$O$1="Yes"),OFFSET('Forecast Adjuster'!$A$50,0,L$289),Data!K$230)</f>
        <v>2.4569999999999999</v>
      </c>
      <c r="M251" s="123">
        <f ca="1">IF(OR($F$1="Yes",$O$1="Yes"),OFFSET('Forecast Adjuster'!$A$50,0,M$289),Data!L$230)</f>
        <v>2.4817999999999998</v>
      </c>
      <c r="N251" s="123">
        <f ca="1">IF(OR($F$1="Yes",$O$1="Yes"),OFFSET('Forecast Adjuster'!$A$50,0,N$289),Data!M$230)</f>
        <v>2.5022000000000002</v>
      </c>
      <c r="O251" s="73">
        <f>'Labour Force'!O$5/1000</f>
        <v>2.5305941603732371</v>
      </c>
      <c r="P251" s="73">
        <f>'Labour Force'!P$5/1000</f>
        <v>2.5578072642304339</v>
      </c>
      <c r="Q251" s="73">
        <f>'Labour Force'!Q$5/1000</f>
        <v>2.583439118867807</v>
      </c>
      <c r="R251" s="73">
        <f>'Labour Force'!R$5/1000</f>
        <v>2.6080656113468983</v>
      </c>
      <c r="S251" s="73">
        <f>'Labour Force'!S$5/1000</f>
        <v>2.6322235855386347</v>
      </c>
      <c r="T251" s="73">
        <f>'Labour Force'!T$5/1000</f>
        <v>2.6564303637186373</v>
      </c>
      <c r="U251" s="73">
        <f>'Labour Force'!U$5/1000</f>
        <v>2.6798660388840347</v>
      </c>
      <c r="V251" s="73">
        <f>'Labour Force'!V$5/1000</f>
        <v>2.702862478155037</v>
      </c>
      <c r="W251" s="73">
        <f>'Labour Force'!W$5/1000</f>
        <v>2.7246192961240796</v>
      </c>
      <c r="X251" s="73">
        <f>'Labour Force'!X$5/1000</f>
        <v>2.7448534296592193</v>
      </c>
    </row>
    <row r="252" spans="1:24" x14ac:dyDescent="0.2">
      <c r="A252" s="159" t="s">
        <v>136</v>
      </c>
      <c r="D252" s="117"/>
      <c r="E252" s="117">
        <f t="shared" ref="E252:X252" si="129">E$251/D$251-1</f>
        <v>1.0274737547464774E-2</v>
      </c>
      <c r="F252" s="117">
        <f t="shared" si="129"/>
        <v>1.8129560026531211E-2</v>
      </c>
      <c r="G252" s="117">
        <f t="shared" si="129"/>
        <v>6.2106406080346677E-3</v>
      </c>
      <c r="H252" s="117">
        <f t="shared" si="129"/>
        <v>1.6488259668508087E-2</v>
      </c>
      <c r="I252" s="117">
        <f t="shared" si="129"/>
        <v>1.1040339702760082E-2</v>
      </c>
      <c r="J252" s="121">
        <f t="shared" ca="1" si="129"/>
        <v>-3.2339353212934574E-3</v>
      </c>
      <c r="K252" s="121">
        <f t="shared" ca="1" si="129"/>
        <v>1.5800783718872502E-2</v>
      </c>
      <c r="L252" s="121">
        <f t="shared" ca="1" si="129"/>
        <v>1.9163763066202044E-2</v>
      </c>
      <c r="M252" s="121">
        <f t="shared" ca="1" si="129"/>
        <v>1.0093610093609984E-2</v>
      </c>
      <c r="N252" s="121">
        <f t="shared" ca="1" si="129"/>
        <v>8.2198404383917456E-3</v>
      </c>
      <c r="O252" s="118">
        <f t="shared" ca="1" si="129"/>
        <v>1.13476781924855E-2</v>
      </c>
      <c r="P252" s="118">
        <f t="shared" si="129"/>
        <v>1.075364208268903E-2</v>
      </c>
      <c r="Q252" s="118">
        <f t="shared" si="129"/>
        <v>1.0021026601894745E-2</v>
      </c>
      <c r="R252" s="118">
        <f t="shared" si="129"/>
        <v>9.5324454519694068E-3</v>
      </c>
      <c r="S252" s="118">
        <f t="shared" si="129"/>
        <v>9.2627938831877366E-3</v>
      </c>
      <c r="T252" s="118">
        <f t="shared" si="129"/>
        <v>9.1963229540963365E-3</v>
      </c>
      <c r="U252" s="118">
        <f t="shared" si="129"/>
        <v>8.8222433704570058E-3</v>
      </c>
      <c r="V252" s="118">
        <f t="shared" si="129"/>
        <v>8.581189857004512E-3</v>
      </c>
      <c r="W252" s="118">
        <f t="shared" si="129"/>
        <v>8.0495467841537049E-3</v>
      </c>
      <c r="X252" s="118">
        <f t="shared" si="129"/>
        <v>7.4264076320400552E-3</v>
      </c>
    </row>
    <row r="253" spans="1:24" x14ac:dyDescent="0.2">
      <c r="A253" s="27" t="s">
        <v>138</v>
      </c>
      <c r="D253" s="117">
        <f t="shared" ref="D253:X253" si="130">D$251/D$249</f>
        <v>0.6832193871322183</v>
      </c>
      <c r="E253" s="117">
        <f t="shared" si="130"/>
        <v>0.68195524998492252</v>
      </c>
      <c r="F253" s="117">
        <f t="shared" si="130"/>
        <v>0.6862686656135436</v>
      </c>
      <c r="G253" s="117">
        <f t="shared" si="130"/>
        <v>0.68061104582843723</v>
      </c>
      <c r="H253" s="117">
        <f t="shared" si="130"/>
        <v>0.68302444966501341</v>
      </c>
      <c r="I253" s="117">
        <f t="shared" si="130"/>
        <v>0.68447076410050012</v>
      </c>
      <c r="J253" s="121">
        <f t="shared" ca="1" si="130"/>
        <v>0.67661648990762913</v>
      </c>
      <c r="K253" s="121">
        <f t="shared" ca="1" si="130"/>
        <v>0.68017153820110599</v>
      </c>
      <c r="L253" s="121">
        <f t="shared" ca="1" si="130"/>
        <v>0.68541300527240767</v>
      </c>
      <c r="M253" s="121">
        <f t="shared" ca="1" si="130"/>
        <v>0.68472892812801767</v>
      </c>
      <c r="N253" s="121">
        <f t="shared" ca="1" si="130"/>
        <v>0.68323184883816179</v>
      </c>
      <c r="O253" s="118">
        <f t="shared" si="130"/>
        <v>0.68413920225982416</v>
      </c>
      <c r="P253" s="118">
        <f t="shared" si="130"/>
        <v>0.68448936156484574</v>
      </c>
      <c r="Q253" s="118">
        <f t="shared" si="130"/>
        <v>0.68457038447994323</v>
      </c>
      <c r="R253" s="118">
        <f t="shared" si="130"/>
        <v>0.68424312648619279</v>
      </c>
      <c r="S253" s="118">
        <f t="shared" si="130"/>
        <v>0.68343427711949678</v>
      </c>
      <c r="T253" s="118">
        <f t="shared" si="130"/>
        <v>0.68238060467812411</v>
      </c>
      <c r="U253" s="118">
        <f t="shared" si="130"/>
        <v>0.68141517485462866</v>
      </c>
      <c r="V253" s="118">
        <f t="shared" si="130"/>
        <v>0.68037203896216703</v>
      </c>
      <c r="W253" s="118">
        <f t="shared" si="130"/>
        <v>0.67933675378886038</v>
      </c>
      <c r="X253" s="118">
        <f t="shared" si="130"/>
        <v>0.67830697303839982</v>
      </c>
    </row>
    <row r="254" spans="1:24" x14ac:dyDescent="0.2">
      <c r="A254" s="27" t="s">
        <v>122</v>
      </c>
      <c r="B254" s="226"/>
      <c r="D254" s="117">
        <f>Data!C$232</f>
        <v>3.7999999999999999E-2</v>
      </c>
      <c r="E254" s="117">
        <f>Data!D$232</f>
        <v>3.73E-2</v>
      </c>
      <c r="F254" s="117">
        <f>Data!E$232</f>
        <v>4.9799999999999997E-2</v>
      </c>
      <c r="G254" s="117">
        <f>Data!F$232</f>
        <v>6.6299999999999998E-2</v>
      </c>
      <c r="H254" s="117">
        <f>Data!G$232</f>
        <v>6.5500000000000003E-2</v>
      </c>
      <c r="I254" s="117">
        <f>Data!H$232</f>
        <v>6.6000000000000003E-2</v>
      </c>
      <c r="J254" s="121">
        <f ca="1">IF(OR($F$1="Yes",$O$1="Yes"),OFFSET('Forecast Adjuster'!$A$51,0,J$289),Data!I$232)</f>
        <v>7.0099999999999996E-2</v>
      </c>
      <c r="K254" s="121">
        <f ca="1">IF(OR($F$1="Yes",$O$1="Yes"),OFFSET('Forecast Adjuster'!$A$51,0,K$289),Data!J$232)</f>
        <v>6.2E-2</v>
      </c>
      <c r="L254" s="121">
        <f ca="1">IF(OR($F$1="Yes",$O$1="Yes"),OFFSET('Forecast Adjuster'!$A$51,0,L$289),Data!K$232)</f>
        <v>5.8900000000000001E-2</v>
      </c>
      <c r="M254" s="121">
        <f ca="1">IF(OR($F$1="Yes",$O$1="Yes"),OFFSET('Forecast Adjuster'!$A$51,0,M$289),Data!L$232)</f>
        <v>5.5899999999999998E-2</v>
      </c>
      <c r="N254" s="121">
        <f ca="1">IF(OR($F$1="Yes",$O$1="Yes"),OFFSET('Forecast Adjuster'!$A$51,0,N$289),Data!M$232)</f>
        <v>5.2600000000000001E-2</v>
      </c>
      <c r="O254" s="118">
        <f ca="1">IF(O$4&lt;=OFFSET(Scenarios!$A$14,0,$C$1),Data!Q$232,IF(N$254&lt;OFFSET(Scenarios!$A$9,0,$C$1),MIN(N$254+OFFSET(Scenarios!$A$17,0,$C$1),OFFSET(Scenarios!$A$9,0,$C$1)),MAX(N$254-OFFSET(Scenarios!$A$17,0,$C$1),OFFSET(Scenarios!$A$9,0,$C$1))))</f>
        <v>4.9799999999999997E-2</v>
      </c>
      <c r="P254" s="118">
        <f ca="1">IF(P$4&lt;=OFFSET(Scenarios!$A$14,0,$C$1),Data!R$232,IF(O$254&lt;OFFSET(Scenarios!$A$9,0,$C$1),MIN(O$254+OFFSET(Scenarios!$A$17,0,$C$1),OFFSET(Scenarios!$A$9,0,$C$1)),MAX(O$254-OFFSET(Scenarios!$A$17,0,$C$1),OFFSET(Scenarios!$A$9,0,$C$1))))</f>
        <v>4.8300000000000003E-2</v>
      </c>
      <c r="Q254" s="118">
        <f ca="1">IF(Q$4&lt;=OFFSET(Scenarios!$A$14,0,$C$1),Data!S$232,IF(P$254&lt;OFFSET(Scenarios!$A$9,0,$C$1),MIN(P$254+OFFSET(Scenarios!$A$17,0,$C$1),OFFSET(Scenarios!$A$9,0,$C$1)),MAX(P$254-OFFSET(Scenarios!$A$17,0,$C$1),OFFSET(Scenarios!$A$9,0,$C$1))))</f>
        <v>4.7300000000000002E-2</v>
      </c>
      <c r="R254" s="118">
        <f ca="1">IF(R$4&lt;=OFFSET(Scenarios!$A$14,0,$C$1),Data!T$232,IF(Q$254&lt;OFFSET(Scenarios!$A$9,0,$C$1),MIN(Q$254+OFFSET(Scenarios!$A$17,0,$C$1),OFFSET(Scenarios!$A$9,0,$C$1)),MAX(Q$254-OFFSET(Scenarios!$A$17,0,$C$1),OFFSET(Scenarios!$A$9,0,$C$1))))</f>
        <v>4.6300000000000001E-2</v>
      </c>
      <c r="S254" s="118">
        <f ca="1">IF(S$4&lt;=OFFSET(Scenarios!$A$14,0,$C$1),Data!U$232,IF(R$254&lt;OFFSET(Scenarios!$A$9,0,$C$1),MIN(R$254+OFFSET(Scenarios!$A$17,0,$C$1),OFFSET(Scenarios!$A$9,0,$C$1)),MAX(R$254-OFFSET(Scenarios!$A$17,0,$C$1),OFFSET(Scenarios!$A$9,0,$C$1))))</f>
        <v>4.53E-2</v>
      </c>
      <c r="T254" s="118">
        <f ca="1">IF(T$4&lt;=OFFSET(Scenarios!$A$14,0,$C$1),Data!V$232,IF(S$254&lt;OFFSET(Scenarios!$A$9,0,$C$1),MIN(S$254+OFFSET(Scenarios!$A$17,0,$C$1),OFFSET(Scenarios!$A$9,0,$C$1)),MAX(S$254-OFFSET(Scenarios!$A$17,0,$C$1),OFFSET(Scenarios!$A$9,0,$C$1))))</f>
        <v>4.4999999999999998E-2</v>
      </c>
      <c r="U254" s="118">
        <f ca="1">IF(U$4&lt;=OFFSET(Scenarios!$A$14,0,$C$1),Data!W$232,IF(T$254&lt;OFFSET(Scenarios!$A$9,0,$C$1),MIN(T$254+OFFSET(Scenarios!$A$17,0,$C$1),OFFSET(Scenarios!$A$9,0,$C$1)),MAX(T$254-OFFSET(Scenarios!$A$17,0,$C$1),OFFSET(Scenarios!$A$9,0,$C$1))))</f>
        <v>4.4999999999999998E-2</v>
      </c>
      <c r="V254" s="118">
        <f ca="1">IF(V$4&lt;=OFFSET(Scenarios!$A$14,0,$C$1),Data!X$232,IF(U$254&lt;OFFSET(Scenarios!$A$9,0,$C$1),MIN(U$254+OFFSET(Scenarios!$A$17,0,$C$1),OFFSET(Scenarios!$A$9,0,$C$1)),MAX(U$254-OFFSET(Scenarios!$A$17,0,$C$1),OFFSET(Scenarios!$A$9,0,$C$1))))</f>
        <v>4.4999999999999998E-2</v>
      </c>
      <c r="W254" s="118">
        <f ca="1">IF(W$4&lt;=OFFSET(Scenarios!$A$14,0,$C$1),Data!Y$232,IF(V$254&lt;OFFSET(Scenarios!$A$9,0,$C$1),MIN(V$254+OFFSET(Scenarios!$A$17,0,$C$1),OFFSET(Scenarios!$A$9,0,$C$1)),MAX(V$254-OFFSET(Scenarios!$A$17,0,$C$1),OFFSET(Scenarios!$A$9,0,$C$1))))</f>
        <v>4.4999999999999998E-2</v>
      </c>
      <c r="X254" s="118">
        <f ca="1">IF(X$4&lt;=OFFSET(Scenarios!$A$14,0,$C$1),Data!Z$232,IF(W$254&lt;OFFSET(Scenarios!$A$9,0,$C$1),MIN(W$254+OFFSET(Scenarios!$A$17,0,$C$1),OFFSET(Scenarios!$A$9,0,$C$1)),MAX(W$254-OFFSET(Scenarios!$A$17,0,$C$1),OFFSET(Scenarios!$A$9,0,$C$1))))</f>
        <v>4.4999999999999998E-2</v>
      </c>
    </row>
    <row r="255" spans="1:24" x14ac:dyDescent="0.2">
      <c r="A255" s="27" t="s">
        <v>505</v>
      </c>
      <c r="D255" s="69">
        <f t="shared" ref="D255:X255" si="131">D$251*(1-D$254)</f>
        <v>2.1534370000000003</v>
      </c>
      <c r="E255" s="69">
        <f t="shared" si="131"/>
        <v>2.1771460499999997</v>
      </c>
      <c r="F255" s="69">
        <f t="shared" si="131"/>
        <v>2.1878355000000003</v>
      </c>
      <c r="G255" s="69">
        <f t="shared" si="131"/>
        <v>2.16319616</v>
      </c>
      <c r="H255" s="69">
        <f t="shared" si="131"/>
        <v>2.2007474999999999</v>
      </c>
      <c r="I255" s="69">
        <f t="shared" si="131"/>
        <v>2.2238539999999998</v>
      </c>
      <c r="J255" s="123">
        <f t="shared" ca="1" si="131"/>
        <v>2.2069316699999999</v>
      </c>
      <c r="K255" s="123">
        <f t="shared" ca="1" si="131"/>
        <v>2.2613303999999999</v>
      </c>
      <c r="L255" s="123">
        <f t="shared" ca="1" si="131"/>
        <v>2.3122826999999999</v>
      </c>
      <c r="M255" s="123">
        <f t="shared" ca="1" si="131"/>
        <v>2.3430673799999999</v>
      </c>
      <c r="N255" s="123">
        <f t="shared" ca="1" si="131"/>
        <v>2.3705842800000001</v>
      </c>
      <c r="O255" s="73">
        <f t="shared" ca="1" si="131"/>
        <v>2.4045705711866501</v>
      </c>
      <c r="P255" s="73">
        <f t="shared" ca="1" si="131"/>
        <v>2.4342651733681038</v>
      </c>
      <c r="Q255" s="73">
        <f t="shared" ca="1" si="131"/>
        <v>2.4612424485453599</v>
      </c>
      <c r="R255" s="73">
        <f t="shared" ca="1" si="131"/>
        <v>2.4873121735415369</v>
      </c>
      <c r="S255" s="73">
        <f t="shared" ca="1" si="131"/>
        <v>2.5129838571137344</v>
      </c>
      <c r="T255" s="73">
        <f t="shared" ca="1" si="131"/>
        <v>2.5368909973512985</v>
      </c>
      <c r="U255" s="73">
        <f t="shared" ca="1" si="131"/>
        <v>2.5592720671342533</v>
      </c>
      <c r="V255" s="73">
        <f t="shared" ca="1" si="131"/>
        <v>2.5812336666380604</v>
      </c>
      <c r="W255" s="73">
        <f t="shared" ca="1" si="131"/>
        <v>2.6020114277984958</v>
      </c>
      <c r="X255" s="73">
        <f t="shared" ca="1" si="131"/>
        <v>2.6213350253245542</v>
      </c>
    </row>
    <row r="256" spans="1:24" x14ac:dyDescent="0.2">
      <c r="A256" s="159" t="s">
        <v>136</v>
      </c>
      <c r="D256" s="117"/>
      <c r="E256" s="117">
        <f t="shared" ref="E256:X256" si="132">E$255/D$255-1</f>
        <v>1.1009864695368021E-2</v>
      </c>
      <c r="F256" s="117">
        <f t="shared" si="132"/>
        <v>4.9098451617430872E-3</v>
      </c>
      <c r="G256" s="117">
        <f t="shared" si="132"/>
        <v>-1.1261971021130357E-2</v>
      </c>
      <c r="H256" s="117">
        <f t="shared" si="132"/>
        <v>1.7359193167206799E-2</v>
      </c>
      <c r="I256" s="117">
        <f t="shared" si="132"/>
        <v>1.0499387140051164E-2</v>
      </c>
      <c r="J256" s="121">
        <f t="shared" ca="1" si="132"/>
        <v>-7.6094608728809465E-3</v>
      </c>
      <c r="K256" s="121">
        <f t="shared" ca="1" si="132"/>
        <v>2.4649032291969464E-2</v>
      </c>
      <c r="L256" s="121">
        <f t="shared" ca="1" si="132"/>
        <v>2.2532001515568112E-2</v>
      </c>
      <c r="M256" s="121">
        <f t="shared" ca="1" si="132"/>
        <v>1.3313545095502421E-2</v>
      </c>
      <c r="N256" s="121">
        <f t="shared" ca="1" si="132"/>
        <v>1.1743964443737154E-2</v>
      </c>
      <c r="O256" s="118">
        <f t="shared" ca="1" si="132"/>
        <v>1.4336672808211715E-2</v>
      </c>
      <c r="P256" s="118">
        <f t="shared" ca="1" si="132"/>
        <v>1.2349232972105995E-2</v>
      </c>
      <c r="Q256" s="118">
        <f t="shared" ca="1" si="132"/>
        <v>1.1082307495666077E-2</v>
      </c>
      <c r="R256" s="118">
        <f t="shared" ca="1" si="132"/>
        <v>1.0592099535575938E-2</v>
      </c>
      <c r="S256" s="118">
        <f t="shared" ca="1" si="132"/>
        <v>1.0321054126328333E-2</v>
      </c>
      <c r="T256" s="118">
        <f t="shared" ca="1" si="132"/>
        <v>9.5134475973206456E-3</v>
      </c>
      <c r="U256" s="118">
        <f t="shared" ca="1" si="132"/>
        <v>8.8222433704570058E-3</v>
      </c>
      <c r="V256" s="118">
        <f t="shared" ca="1" si="132"/>
        <v>8.581189857004512E-3</v>
      </c>
      <c r="W256" s="118">
        <f t="shared" ca="1" si="132"/>
        <v>8.0495467841537049E-3</v>
      </c>
      <c r="X256" s="118">
        <f t="shared" ca="1" si="132"/>
        <v>7.4264076320400552E-3</v>
      </c>
    </row>
    <row r="257" spans="1:24" x14ac:dyDescent="0.2">
      <c r="A257" s="27" t="s">
        <v>123</v>
      </c>
      <c r="B257" s="226"/>
      <c r="D257" s="416">
        <f>Data!C$233</f>
        <v>34.15</v>
      </c>
      <c r="E257" s="416">
        <f>Data!D$233</f>
        <v>33.799999999999997</v>
      </c>
      <c r="F257" s="416">
        <f>Data!E$233</f>
        <v>33.340000000000003</v>
      </c>
      <c r="G257" s="416">
        <f>Data!F$233</f>
        <v>33.24</v>
      </c>
      <c r="H257" s="416">
        <f>Data!G$233</f>
        <v>33.35</v>
      </c>
      <c r="I257" s="416">
        <f>Data!H$233</f>
        <v>33.25</v>
      </c>
      <c r="J257" s="417">
        <f ca="1">IF(OR($F$1="Yes",$O$1="Yes"),OFFSET('Forecast Adjuster'!$A$52,0,J$289),Data!I$233)</f>
        <v>33.380000000000003</v>
      </c>
      <c r="K257" s="417">
        <f ca="1">IF(OR($F$1="Yes",$O$1="Yes"),OFFSET('Forecast Adjuster'!$A$52,0,K$289),Data!J$233)</f>
        <v>33.51</v>
      </c>
      <c r="L257" s="417">
        <f ca="1">IF(OR($F$1="Yes",$O$1="Yes"),OFFSET('Forecast Adjuster'!$A$52,0,L$289),Data!K$233)</f>
        <v>33.35</v>
      </c>
      <c r="M257" s="417">
        <f ca="1">IF(OR($F$1="Yes",$O$1="Yes"),OFFSET('Forecast Adjuster'!$A$52,0,M$289),Data!L$233)</f>
        <v>33.299999999999997</v>
      </c>
      <c r="N257" s="417">
        <f ca="1">IF(OR($F$1="Yes",$O$1="Yes"),OFFSET('Forecast Adjuster'!$A$52,0,N$289),Data!M$233)</f>
        <v>33.28</v>
      </c>
      <c r="O257" s="418">
        <f ca="1">IF(O$4&lt;=OFFSET(Scenarios!$A$14,0,$C$1),Data!Q$233,IF(N$257&lt;OFFSET(Scenarios!$A$10,0,$C$1),MIN(N$257+OFFSET(Scenarios!$A$18,0,$C$1),OFFSET(Scenarios!$A$10,0,$C$1)),MAX(N$257-OFFSET(Scenarios!$A$18,0,$C$1),OFFSET(Scenarios!$A$10,0,$C$1))))</f>
        <v>33.24</v>
      </c>
      <c r="P257" s="418">
        <f ca="1">IF(P$4&lt;=OFFSET(Scenarios!$A$14,0,$C$1),Data!R$233,IF(O$257&lt;OFFSET(Scenarios!$A$10,0,$C$1),MIN(O$257+OFFSET(Scenarios!$A$18,0,$C$1),OFFSET(Scenarios!$A$10,0,$C$1)),MAX(O$257-OFFSET(Scenarios!$A$18,0,$C$1),OFFSET(Scenarios!$A$10,0,$C$1))))</f>
        <v>33.22</v>
      </c>
      <c r="Q257" s="418">
        <f ca="1">IF(Q$4&lt;=OFFSET(Scenarios!$A$14,0,$C$1),Data!S$233,IF(P$257&lt;OFFSET(Scenarios!$A$10,0,$C$1),MIN(P$257+OFFSET(Scenarios!$A$18,0,$C$1),OFFSET(Scenarios!$A$10,0,$C$1)),MAX(P$257-OFFSET(Scenarios!$A$18,0,$C$1),OFFSET(Scenarios!$A$10,0,$C$1))))</f>
        <v>33.200000000000003</v>
      </c>
      <c r="R257" s="418">
        <f ca="1">IF(R$4&lt;=OFFSET(Scenarios!$A$14,0,$C$1),Data!T$233,IF(Q$257&lt;OFFSET(Scenarios!$A$10,0,$C$1),MIN(Q$257+OFFSET(Scenarios!$A$18,0,$C$1),OFFSET(Scenarios!$A$10,0,$C$1)),MAX(Q$257-OFFSET(Scenarios!$A$18,0,$C$1),OFFSET(Scenarios!$A$10,0,$C$1))))</f>
        <v>33.200000000000003</v>
      </c>
      <c r="S257" s="418">
        <f ca="1">IF(S$4&lt;=OFFSET(Scenarios!$A$14,0,$C$1),Data!U$233,IF(R$257&lt;OFFSET(Scenarios!$A$10,0,$C$1),MIN(R$257+OFFSET(Scenarios!$A$18,0,$C$1),OFFSET(Scenarios!$A$10,0,$C$1)),MAX(R$257-OFFSET(Scenarios!$A$18,0,$C$1),OFFSET(Scenarios!$A$10,0,$C$1))))</f>
        <v>33.200000000000003</v>
      </c>
      <c r="T257" s="418">
        <f ca="1">IF(T$4&lt;=OFFSET(Scenarios!$A$14,0,$C$1),Data!V$233,IF(S$257&lt;OFFSET(Scenarios!$A$10,0,$C$1),MIN(S$257+OFFSET(Scenarios!$A$18,0,$C$1),OFFSET(Scenarios!$A$10,0,$C$1)),MAX(S$257-OFFSET(Scenarios!$A$18,0,$C$1),OFFSET(Scenarios!$A$10,0,$C$1))))</f>
        <v>33.200000000000003</v>
      </c>
      <c r="U257" s="418">
        <f ca="1">IF(U$4&lt;=OFFSET(Scenarios!$A$14,0,$C$1),Data!W$233,IF(T$257&lt;OFFSET(Scenarios!$A$10,0,$C$1),MIN(T$257+OFFSET(Scenarios!$A$18,0,$C$1),OFFSET(Scenarios!$A$10,0,$C$1)),MAX(T$257-OFFSET(Scenarios!$A$18,0,$C$1),OFFSET(Scenarios!$A$10,0,$C$1))))</f>
        <v>33.200000000000003</v>
      </c>
      <c r="V257" s="418">
        <f ca="1">IF(V$4&lt;=OFFSET(Scenarios!$A$14,0,$C$1),Data!X$233,IF(U$257&lt;OFFSET(Scenarios!$A$10,0,$C$1),MIN(U$257+OFFSET(Scenarios!$A$18,0,$C$1),OFFSET(Scenarios!$A$10,0,$C$1)),MAX(U$257-OFFSET(Scenarios!$A$18,0,$C$1),OFFSET(Scenarios!$A$10,0,$C$1))))</f>
        <v>33.200000000000003</v>
      </c>
      <c r="W257" s="418">
        <f ca="1">IF(W$4&lt;=OFFSET(Scenarios!$A$14,0,$C$1),Data!Y$233,IF(V$257&lt;OFFSET(Scenarios!$A$10,0,$C$1),MIN(V$257+OFFSET(Scenarios!$A$18,0,$C$1),OFFSET(Scenarios!$A$10,0,$C$1)),MAX(V$257-OFFSET(Scenarios!$A$18,0,$C$1),OFFSET(Scenarios!$A$10,0,$C$1))))</f>
        <v>33.200000000000003</v>
      </c>
      <c r="X257" s="418">
        <f ca="1">IF(X$4&lt;=OFFSET(Scenarios!$A$14,0,$C$1),Data!Z$233,IF(W$257&lt;OFFSET(Scenarios!$A$10,0,$C$1),MIN(W$257+OFFSET(Scenarios!$A$18,0,$C$1),OFFSET(Scenarios!$A$10,0,$C$1)),MAX(W$257-OFFSET(Scenarios!$A$18,0,$C$1),OFFSET(Scenarios!$A$10,0,$C$1))))</f>
        <v>33.200000000000003</v>
      </c>
    </row>
    <row r="258" spans="1:24" x14ac:dyDescent="0.2">
      <c r="A258" s="27" t="s">
        <v>193</v>
      </c>
      <c r="B258" s="226"/>
      <c r="D258" s="117">
        <f>Data!C$235</f>
        <v>4.8099999999999997E-2</v>
      </c>
      <c r="E258" s="117">
        <f>Data!D$235</f>
        <v>4.5900000000000003E-2</v>
      </c>
      <c r="F258" s="117">
        <f>Data!E$235</f>
        <v>5.3100000000000001E-2</v>
      </c>
      <c r="G258" s="117">
        <f>Data!F$235</f>
        <v>2.1899999999999999E-2</v>
      </c>
      <c r="H258" s="117">
        <f>Data!G$235</f>
        <v>2.1399999999999999E-2</v>
      </c>
      <c r="I258" s="117">
        <f>Data!H$235</f>
        <v>3.1699999999999999E-2</v>
      </c>
      <c r="J258" s="121">
        <f ca="1">IF(OR($F$1="Yes",$O$1="Yes"),OFFSET('Forecast Adjuster'!$A$54,0,J$289),Data!I$235)</f>
        <v>2.41E-2</v>
      </c>
      <c r="K258" s="121">
        <f ca="1">IF(OR($F$1="Yes",$O$1="Yes"),OFFSET('Forecast Adjuster'!$A$54,0,K$289),Data!J$235)</f>
        <v>2.9000000000000001E-2</v>
      </c>
      <c r="L258" s="121">
        <f ca="1">IF(OR($F$1="Yes",$O$1="Yes"),OFFSET('Forecast Adjuster'!$A$54,0,L$289),Data!K$235)</f>
        <v>2.3300000000000001E-2</v>
      </c>
      <c r="M258" s="121">
        <f ca="1">IF(OR($F$1="Yes",$O$1="Yes"),OFFSET('Forecast Adjuster'!$A$54,0,M$289),Data!L$235)</f>
        <v>2.7199999999999998E-2</v>
      </c>
      <c r="N258" s="121">
        <f ca="1">IF(OR($F$1="Yes",$O$1="Yes"),OFFSET('Forecast Adjuster'!$A$54,0,N$289),Data!M$235)</f>
        <v>3.2599999999999997E-2</v>
      </c>
      <c r="O258" s="118">
        <f t="shared" ref="O258:X258" ca="1" si="133">(1+O$247)*(1+O$259)-1</f>
        <v>3.1344143237854283E-2</v>
      </c>
      <c r="P258" s="118">
        <f t="shared" ca="1" si="133"/>
        <v>3.2864601440165897E-2</v>
      </c>
      <c r="Q258" s="118">
        <f t="shared" ca="1" si="133"/>
        <v>3.5299999999999887E-2</v>
      </c>
      <c r="R258" s="118">
        <f t="shared" ca="1" si="133"/>
        <v>3.5299999999999887E-2</v>
      </c>
      <c r="S258" s="118">
        <f t="shared" ca="1" si="133"/>
        <v>3.5299999999999887E-2</v>
      </c>
      <c r="T258" s="118">
        <f t="shared" ca="1" si="133"/>
        <v>3.5299999999999887E-2</v>
      </c>
      <c r="U258" s="118">
        <f t="shared" ca="1" si="133"/>
        <v>3.5299999999999887E-2</v>
      </c>
      <c r="V258" s="118">
        <f t="shared" ca="1" si="133"/>
        <v>3.5299999999999887E-2</v>
      </c>
      <c r="W258" s="118">
        <f t="shared" ca="1" si="133"/>
        <v>3.5299999999999887E-2</v>
      </c>
      <c r="X258" s="118">
        <f t="shared" ca="1" si="133"/>
        <v>3.5299999999999887E-2</v>
      </c>
    </row>
    <row r="259" spans="1:24" x14ac:dyDescent="0.2">
      <c r="A259" s="27" t="s">
        <v>275</v>
      </c>
      <c r="B259" s="226"/>
      <c r="D259" s="117">
        <f>Data!C$234</f>
        <v>2.4199999999999999E-2</v>
      </c>
      <c r="E259" s="117">
        <f>Data!D$234</f>
        <v>1.72E-2</v>
      </c>
      <c r="F259" s="117">
        <f>Data!E$234</f>
        <v>-1.46E-2</v>
      </c>
      <c r="G259" s="117">
        <f>Data!F$234</f>
        <v>2.3699999999999999E-2</v>
      </c>
      <c r="H259" s="117">
        <f>Data!G$234</f>
        <v>-1.14E-2</v>
      </c>
      <c r="I259" s="117">
        <f>Data!H$234</f>
        <v>1.6500000000000001E-2</v>
      </c>
      <c r="J259" s="121">
        <f ca="1">IF(OR($F$1="Yes",$O$1="Yes"),OFFSET('Forecast Adjuster'!$A$53,0,J$289),Data!I$234)</f>
        <v>2.92E-2</v>
      </c>
      <c r="K259" s="121">
        <f ca="1">IF(OR($F$1="Yes",$O$1="Yes"),OFFSET('Forecast Adjuster'!$A$53,0,K$289),Data!J$234)</f>
        <v>-3.5999999999999999E-3</v>
      </c>
      <c r="L259" s="121">
        <f ca="1">IF(OR($F$1="Yes",$O$1="Yes"),OFFSET('Forecast Adjuster'!$A$53,0,L$289),Data!K$234)</f>
        <v>1.12E-2</v>
      </c>
      <c r="M259" s="121">
        <f ca="1">IF(OR($F$1="Yes",$O$1="Yes"),OFFSET('Forecast Adjuster'!$A$53,0,M$289),Data!L$234)</f>
        <v>1.35E-2</v>
      </c>
      <c r="N259" s="121">
        <f ca="1">IF(OR($F$1="Yes",$O$1="Yes"),OFFSET('Forecast Adjuster'!$A$53,0,N$289),Data!M$234)</f>
        <v>1.0699999999999999E-2</v>
      </c>
      <c r="O259" s="118">
        <f ca="1">IF(OFFSET(Scenarios!$A$14,0,$C$1)&gt;=O$4,(O$242/N$242)/((O$251*(1-O$254)*O$257)/(N$251*(1-N$254)*N$257))-1,OFFSET(Scenarios!$A$6,0,$C$1))</f>
        <v>1.0743082394610637E-2</v>
      </c>
      <c r="P259" s="118">
        <f ca="1">IF(OFFSET(Scenarios!$A$14,0,$C$1)&gt;=P$4,(P$242/O$242)/((P$251*(1-P$254)*P$257)/(O$251*(1-O$254)*O$257))-1,OFFSET(Scenarios!$A$6,0,$C$1))</f>
        <v>1.2612354353103816E-2</v>
      </c>
      <c r="Q259" s="118">
        <f ca="1">IF(OFFSET(Scenarios!$A$14,0,$C$1)&gt;=Q$4,(Q$242/P$242)/((Q$251*(1-Q$254)*Q$257)/(P$251*(1-P$254)*P$257))-1,OFFSET(Scenarios!$A$6,0,$C$1))</f>
        <v>1.4999999999999999E-2</v>
      </c>
      <c r="R259" s="118">
        <f ca="1">IF(OFFSET(Scenarios!$A$14,0,$C$1)&gt;=R$4,(R$242/Q$242)/((R$251*(1-R$254)*R$257)/(Q$251*(1-Q$254)*Q$257))-1,OFFSET(Scenarios!$A$6,0,$C$1))</f>
        <v>1.4999999999999999E-2</v>
      </c>
      <c r="S259" s="118">
        <f ca="1">IF(OFFSET(Scenarios!$A$14,0,$C$1)&gt;=S$4,(S$242/R$242)/((S$251*(1-S$254)*S$257)/(R$251*(1-R$254)*R$257))-1,OFFSET(Scenarios!$A$6,0,$C$1))</f>
        <v>1.4999999999999999E-2</v>
      </c>
      <c r="T259" s="118">
        <f ca="1">IF(OFFSET(Scenarios!$A$14,0,$C$1)&gt;=T$4,(T$242/S$242)/((T$251*(1-T$254)*T$257)/(S$251*(1-S$254)*S$257))-1,OFFSET(Scenarios!$A$6,0,$C$1))</f>
        <v>1.4999999999999999E-2</v>
      </c>
      <c r="U259" s="118">
        <f ca="1">IF(OFFSET(Scenarios!$A$14,0,$C$1)&gt;=U$4,(U$242/T$242)/((U$251*(1-U$254)*U$257)/(T$251*(1-T$254)*T$257))-1,OFFSET(Scenarios!$A$6,0,$C$1))</f>
        <v>1.4999999999999999E-2</v>
      </c>
      <c r="V259" s="118">
        <f ca="1">IF(OFFSET(Scenarios!$A$14,0,$C$1)&gt;=V$4,(V$242/U$242)/((V$251*(1-V$254)*V$257)/(U$251*(1-U$254)*U$257))-1,OFFSET(Scenarios!$A$6,0,$C$1))</f>
        <v>1.4999999999999999E-2</v>
      </c>
      <c r="W259" s="118">
        <f ca="1">IF(OFFSET(Scenarios!$A$14,0,$C$1)&gt;=W$4,(W$242/V$242)/((W$251*(1-W$254)*W$257)/(V$251*(1-V$254)*V$257))-1,OFFSET(Scenarios!$A$6,0,$C$1))</f>
        <v>1.4999999999999999E-2</v>
      </c>
      <c r="X259" s="118">
        <f ca="1">IF(OFFSET(Scenarios!$A$14,0,$C$1)&gt;=X$4,(X$242/W$242)/((X$251*(1-X$254)*X$257)/(W$251*(1-W$254)*W$257))-1,OFFSET(Scenarios!$A$6,0,$C$1))</f>
        <v>1.4999999999999999E-2</v>
      </c>
    </row>
    <row r="260" spans="1:24" x14ac:dyDescent="0.2">
      <c r="A260" s="2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5.75" x14ac:dyDescent="0.25">
      <c r="A261" s="150" t="s">
        <v>276</v>
      </c>
      <c r="D261" s="72"/>
      <c r="E261" s="72"/>
      <c r="F261" s="72"/>
      <c r="K261" s="124"/>
    </row>
    <row r="262" spans="1:24" x14ac:dyDescent="0.2">
      <c r="A262" s="27" t="s">
        <v>246</v>
      </c>
      <c r="D262" s="72"/>
      <c r="E262" s="72"/>
      <c r="F262" s="72"/>
      <c r="K262" s="124"/>
    </row>
    <row r="263" spans="1:24" x14ac:dyDescent="0.2">
      <c r="A263" s="28" t="s">
        <v>175</v>
      </c>
      <c r="D263" s="72"/>
      <c r="E263" s="70">
        <f>Popn!E$201</f>
        <v>2.1245087429515364E-2</v>
      </c>
      <c r="F263" s="70">
        <f>Popn!F$201</f>
        <v>2.7347090537274577E-2</v>
      </c>
      <c r="G263" s="70">
        <f>Popn!G$201</f>
        <v>2.9948788476502397E-2</v>
      </c>
      <c r="H263" s="70">
        <f>Popn!H$201</f>
        <v>3.1379576920373964E-2</v>
      </c>
      <c r="I263" s="70">
        <f>Popn!I$201</f>
        <v>4.1157030424857854E-2</v>
      </c>
      <c r="J263" s="125">
        <f>Popn!J$201</f>
        <v>3.8172060604077407E-2</v>
      </c>
      <c r="K263" s="125">
        <f>Popn!K$201</f>
        <v>3.5208270949236509E-2</v>
      </c>
      <c r="L263" s="125">
        <f>Popn!L$201</f>
        <v>3.5122174012331531E-2</v>
      </c>
      <c r="M263" s="125">
        <f>Popn!M$201</f>
        <v>3.2930344746440854E-2</v>
      </c>
      <c r="N263" s="125">
        <f>Popn!N$201</f>
        <v>3.2435818940353967E-2</v>
      </c>
      <c r="O263" s="142">
        <f>Popn!O$201</f>
        <v>3.1665034685349314E-2</v>
      </c>
      <c r="P263" s="142">
        <f>Popn!P$201</f>
        <v>3.2337410600895566E-2</v>
      </c>
      <c r="Q263" s="142">
        <f>Popn!Q$201</f>
        <v>3.2295659380503494E-2</v>
      </c>
      <c r="R263" s="142">
        <f>Popn!R$201</f>
        <v>3.3141824932888531E-2</v>
      </c>
      <c r="S263" s="142">
        <f>Popn!S$201</f>
        <v>3.2722195240407981E-2</v>
      </c>
      <c r="T263" s="142">
        <f>Popn!T$201</f>
        <v>3.1873493621774163E-2</v>
      </c>
      <c r="U263" s="142">
        <f>Popn!U$201</f>
        <v>3.3201923296037217E-2</v>
      </c>
      <c r="V263" s="142">
        <f>Popn!V$201</f>
        <v>3.2300397000441183E-2</v>
      </c>
      <c r="W263" s="142">
        <f>Popn!W$201</f>
        <v>3.3041694708842106E-2</v>
      </c>
      <c r="X263" s="142">
        <f>Popn!X$201</f>
        <v>3.2295092138735493E-2</v>
      </c>
    </row>
    <row r="264" spans="1:24" x14ac:dyDescent="0.2">
      <c r="A264" s="28" t="s">
        <v>218</v>
      </c>
      <c r="D264" s="72"/>
      <c r="E264" s="70">
        <f t="shared" ref="E264:X264" si="134">E$247</f>
        <v>4.0196078431372628E-2</v>
      </c>
      <c r="F264" s="70">
        <f t="shared" si="134"/>
        <v>1.8850141376060225E-2</v>
      </c>
      <c r="G264" s="70">
        <f t="shared" si="134"/>
        <v>1.6651248843663202E-2</v>
      </c>
      <c r="H264" s="70">
        <f t="shared" si="134"/>
        <v>5.277525022747942E-2</v>
      </c>
      <c r="I264" s="70">
        <f t="shared" si="134"/>
        <v>9.5073465859982775E-3</v>
      </c>
      <c r="J264" s="125">
        <f t="shared" ca="1" si="134"/>
        <v>1.0273972602739656E-2</v>
      </c>
      <c r="K264" s="125">
        <f t="shared" ca="1" si="134"/>
        <v>1.8644067796610209E-2</v>
      </c>
      <c r="L264" s="125">
        <f t="shared" ca="1" si="134"/>
        <v>1.830282861896837E-2</v>
      </c>
      <c r="M264" s="125">
        <f t="shared" ca="1" si="134"/>
        <v>2.2058823529411686E-2</v>
      </c>
      <c r="N264" s="125">
        <f t="shared" ca="1" si="134"/>
        <v>2.2382094324540303E-2</v>
      </c>
      <c r="O264" s="142">
        <f t="shared" ca="1" si="134"/>
        <v>2.0382094324540301E-2</v>
      </c>
      <c r="P264" s="142">
        <f t="shared" ca="1" si="134"/>
        <v>0.02</v>
      </c>
      <c r="Q264" s="142">
        <f t="shared" ca="1" si="134"/>
        <v>0.02</v>
      </c>
      <c r="R264" s="142">
        <f t="shared" ca="1" si="134"/>
        <v>0.02</v>
      </c>
      <c r="S264" s="142">
        <f t="shared" ca="1" si="134"/>
        <v>0.02</v>
      </c>
      <c r="T264" s="142">
        <f t="shared" ca="1" si="134"/>
        <v>0.02</v>
      </c>
      <c r="U264" s="142">
        <f t="shared" ca="1" si="134"/>
        <v>0.02</v>
      </c>
      <c r="V264" s="142">
        <f t="shared" ca="1" si="134"/>
        <v>0.02</v>
      </c>
      <c r="W264" s="142">
        <f t="shared" ca="1" si="134"/>
        <v>0.02</v>
      </c>
      <c r="X264" s="142">
        <f t="shared" ca="1" si="134"/>
        <v>0.02</v>
      </c>
    </row>
    <row r="265" spans="1:24" x14ac:dyDescent="0.2">
      <c r="A265" s="28" t="s">
        <v>176</v>
      </c>
      <c r="D265" s="72"/>
      <c r="E265" s="217">
        <f t="shared" ref="E265:X265" si="135">E$75/D$75 -(1+E$263+E$264)</f>
        <v>1.7560302567893205E-2</v>
      </c>
      <c r="F265" s="217">
        <f t="shared" si="135"/>
        <v>7.6949836555275652E-3</v>
      </c>
      <c r="G265" s="217">
        <f t="shared" si="135"/>
        <v>2.3906161026941763E-2</v>
      </c>
      <c r="H265" s="217">
        <f t="shared" si="135"/>
        <v>-1.9016105796827887E-2</v>
      </c>
      <c r="I265" s="217">
        <f t="shared" si="135"/>
        <v>3.4726336465927599E-2</v>
      </c>
      <c r="J265" s="143">
        <f t="shared" ca="1" si="135"/>
        <v>1.9479676309042793E-2</v>
      </c>
      <c r="K265" s="143">
        <f t="shared" ca="1" si="135"/>
        <v>1.0534568923914023E-2</v>
      </c>
      <c r="L265" s="143">
        <f t="shared" ca="1" si="135"/>
        <v>1.7429797443195838E-3</v>
      </c>
      <c r="M265" s="143">
        <f t="shared" ca="1" si="135"/>
        <v>-2.183600637748917E-3</v>
      </c>
      <c r="N265" s="143">
        <f t="shared" ca="1" si="135"/>
        <v>-4.4130215114650539E-3</v>
      </c>
      <c r="O265" s="144">
        <f t="shared" ca="1" si="135"/>
        <v>7.4758989276129117E-3</v>
      </c>
      <c r="P265" s="144">
        <f t="shared" ca="1" si="135"/>
        <v>2.6306451095299277E-3</v>
      </c>
      <c r="Q265" s="144">
        <f t="shared" ca="1" si="135"/>
        <v>4.4913396911556713E-3</v>
      </c>
      <c r="R265" s="144">
        <f t="shared" ca="1" si="135"/>
        <v>1.310006993603241E-2</v>
      </c>
      <c r="S265" s="144">
        <f t="shared" ca="1" si="135"/>
        <v>1.6455093491986483E-2</v>
      </c>
      <c r="T265" s="144">
        <f t="shared" ca="1" si="135"/>
        <v>1.6425134324848711E-2</v>
      </c>
      <c r="U265" s="144">
        <f t="shared" ca="1" si="135"/>
        <v>1.6472027892349805E-2</v>
      </c>
      <c r="V265" s="144">
        <f t="shared" ca="1" si="135"/>
        <v>1.6440204014115389E-2</v>
      </c>
      <c r="W265" s="144">
        <f t="shared" ca="1" si="135"/>
        <v>1.6466371823222525E-2</v>
      </c>
      <c r="X265" s="144">
        <f t="shared" ca="1" si="135"/>
        <v>1.6440016752497399E-2</v>
      </c>
    </row>
    <row r="266" spans="1:24" x14ac:dyDescent="0.2">
      <c r="A266" s="82" t="s">
        <v>177</v>
      </c>
      <c r="D266" s="72"/>
      <c r="E266" s="218">
        <f t="shared" ref="E266:X266" si="136">E$75/D$75 -1</f>
        <v>7.9001468428781196E-2</v>
      </c>
      <c r="F266" s="218">
        <f t="shared" si="136"/>
        <v>5.3892215568862367E-2</v>
      </c>
      <c r="G266" s="218">
        <f t="shared" si="136"/>
        <v>7.0506198347107363E-2</v>
      </c>
      <c r="H266" s="218">
        <f t="shared" si="136"/>
        <v>6.5138721351025497E-2</v>
      </c>
      <c r="I266" s="218">
        <f t="shared" si="136"/>
        <v>8.5390713476783731E-2</v>
      </c>
      <c r="J266" s="120">
        <f t="shared" ca="1" si="136"/>
        <v>6.7925709515859856E-2</v>
      </c>
      <c r="K266" s="120">
        <f t="shared" ca="1" si="136"/>
        <v>6.438690766976074E-2</v>
      </c>
      <c r="L266" s="120">
        <f t="shared" ca="1" si="136"/>
        <v>5.5167982375619484E-2</v>
      </c>
      <c r="M266" s="120">
        <f t="shared" ca="1" si="136"/>
        <v>5.2805567638103623E-2</v>
      </c>
      <c r="N266" s="120">
        <f t="shared" ca="1" si="136"/>
        <v>5.0404891753429215E-2</v>
      </c>
      <c r="O266" s="119">
        <f t="shared" ca="1" si="136"/>
        <v>5.9523027937502526E-2</v>
      </c>
      <c r="P266" s="119">
        <f t="shared" ca="1" si="136"/>
        <v>5.4968055710425512E-2</v>
      </c>
      <c r="Q266" s="119">
        <f t="shared" ca="1" si="136"/>
        <v>5.6786999071659183E-2</v>
      </c>
      <c r="R266" s="119">
        <f t="shared" ca="1" si="136"/>
        <v>6.6241894868920959E-2</v>
      </c>
      <c r="S266" s="119">
        <f t="shared" ca="1" si="136"/>
        <v>6.9177288732394482E-2</v>
      </c>
      <c r="T266" s="119">
        <f t="shared" ca="1" si="136"/>
        <v>6.8298627946622892E-2</v>
      </c>
      <c r="U266" s="119">
        <f t="shared" ca="1" si="136"/>
        <v>6.967395118838704E-2</v>
      </c>
      <c r="V266" s="119">
        <f t="shared" ca="1" si="136"/>
        <v>6.874060101455659E-2</v>
      </c>
      <c r="W266" s="119">
        <f t="shared" ca="1" si="136"/>
        <v>6.950806653206465E-2</v>
      </c>
      <c r="X266" s="119">
        <f t="shared" ca="1" si="136"/>
        <v>6.873510889123291E-2</v>
      </c>
    </row>
    <row r="267" spans="1:24" x14ac:dyDescent="0.2">
      <c r="A267" s="27" t="s">
        <v>178</v>
      </c>
      <c r="D267" s="72"/>
      <c r="E267" s="72"/>
      <c r="F267" s="72"/>
      <c r="G267" s="72"/>
      <c r="H267" s="72"/>
      <c r="I267" s="72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 s="28" t="s">
        <v>175</v>
      </c>
      <c r="D268" s="72"/>
      <c r="E268" s="70">
        <f>SUM(D$77*(SUMPRODUCT(Popn!E$204:E$214,Tracks!$F$88:$F$98)+SUMPRODUCT(Popn!E$215:E$225,Tracks!$G$88:$G$98))*AVERAGE(0,E$251*E$254/(D$251*D$254)-1),D$78*(SUMPRODUCT(Popn!E$204:E$214,Tracks!$D$88:$D$98)+SUMPRODUCT(Popn!E$215:E$225,Tracks!$E$88:$E$98)),D$79*(SUMPRODUCT(Popn!E$204:E$214,Tracks!$B$88:$B$98)+SUMPRODUCT(Popn!E$215:E$225,Tracks!$C$88:$C$98)),D$80*Popn!E$202,SUM(D$82:D$85)*Popn!E$203)/(D$87-D$75)</f>
        <v>3.7078593244477334E-3</v>
      </c>
      <c r="F268" s="70">
        <f>SUM(E$77*(SUMPRODUCT(Popn!F$204:F$214,Tracks!$F$88:$F$98)+SUMPRODUCT(Popn!F$215:F$225,Tracks!$G$88:$G$98))*AVERAGE(0,F$251*F$254/(E$251*E$254)-1),E$78*(SUMPRODUCT(Popn!F$204:F$214,Tracks!$D$88:$D$98)+SUMPRODUCT(Popn!F$215:F$225,Tracks!$E$88:$E$98)),E$79*(SUMPRODUCT(Popn!F$204:F$214,Tracks!$B$88:$B$98)+SUMPRODUCT(Popn!F$215:F$225,Tracks!$C$88:$C$98)),E$80*Popn!F$202,SUM(E$82:E$85)*Popn!F$203)/(E$87-E$75)</f>
        <v>3.7177524425855259E-3</v>
      </c>
      <c r="G268" s="70">
        <f>SUM(F$77*(SUMPRODUCT(Popn!G$204:G$214,Tracks!$F$88:$F$98)+SUMPRODUCT(Popn!G$215:G$225,Tracks!$G$88:$G$98))*AVERAGE(0,G$251*G$254/(F$251*F$254)-1),F$78*(SUMPRODUCT(Popn!G$204:G$214,Tracks!$D$88:$D$98)+SUMPRODUCT(Popn!G$215:G$225,Tracks!$E$88:$E$98)),F$79*(SUMPRODUCT(Popn!G$204:G$214,Tracks!$B$88:$B$98)+SUMPRODUCT(Popn!G$215:G$225,Tracks!$C$88:$C$98)),F$80*Popn!G$202,SUM(F$82:F$85)*Popn!G$203)/(F$87-F$75)</f>
        <v>4.1982766730218309E-3</v>
      </c>
      <c r="H268" s="70">
        <f>SUM(G$77*(SUMPRODUCT(Popn!H$204:H$214,Tracks!$F$88:$F$98)+SUMPRODUCT(Popn!H$215:H$225,Tracks!$G$88:$G$98))*AVERAGE(0,H$251*H$254/(G$251*G$254)-1),G$78*(SUMPRODUCT(Popn!H$204:H$214,Tracks!$D$88:$D$98)+SUMPRODUCT(Popn!H$215:H$225,Tracks!$E$88:$E$98)),G$79*(SUMPRODUCT(Popn!H$204:H$214,Tracks!$B$88:$B$98)+SUMPRODUCT(Popn!H$215:H$225,Tracks!$C$88:$C$98)),G$80*Popn!H$202,SUM(G$82:G$85)*Popn!H$203)/(G$87-G$75)</f>
        <v>2.3988460214112457E-3</v>
      </c>
      <c r="I268" s="70">
        <f>SUM(H$77*(SUMPRODUCT(Popn!I$204:I$214,Tracks!$F$88:$F$98)+SUMPRODUCT(Popn!I$215:I$225,Tracks!$G$88:$G$98))*AVERAGE(0,I$251*I$254/(H$251*H$254)-1),H$78*(SUMPRODUCT(Popn!I$204:I$214,Tracks!$D$88:$D$98)+SUMPRODUCT(Popn!I$215:I$225,Tracks!$E$88:$E$98)),H$79*(SUMPRODUCT(Popn!I$204:I$214,Tracks!$B$88:$B$98)+SUMPRODUCT(Popn!I$215:I$225,Tracks!$C$88:$C$98)),H$80*Popn!I$202,SUM(H$82:H$85)*Popn!I$203)/(H$87-H$75)</f>
        <v>1.4363308239299915E-3</v>
      </c>
      <c r="J268" s="125">
        <f ca="1">SUM(I$77*(SUMPRODUCT(Popn!J$204:J$214,Tracks!$F$88:$F$98)+SUMPRODUCT(Popn!J$215:J$225,Tracks!$G$88:$G$98))*AVERAGE(0,J$251*J$254/(I$251*I$254)-1),I$78*(SUMPRODUCT(Popn!J$204:J$214,Tracks!$D$88:$D$98)+SUMPRODUCT(Popn!J$215:J$225,Tracks!$E$88:$E$98)),I$79*(SUMPRODUCT(Popn!J$204:J$214,Tracks!$B$88:$B$98)+SUMPRODUCT(Popn!J$215:J$225,Tracks!$C$88:$C$98)),I$80*Popn!J$202,SUM(I$82:I$85)*Popn!J$203)/(I$87-I$75)</f>
        <v>1.7909371186914326E-3</v>
      </c>
      <c r="K268" s="125">
        <f ca="1">SUM(J$77*(SUMPRODUCT(Popn!K$204:K$214,Tracks!$F$88:$F$98)+SUMPRODUCT(Popn!K$215:K$225,Tracks!$G$88:$G$98))*AVERAGE(0,K$251*K$254/(J$251*J$254)-1),J$78*(SUMPRODUCT(Popn!K$204:K$214,Tracks!$D$88:$D$98)+SUMPRODUCT(Popn!K$215:K$225,Tracks!$E$88:$E$98)),J$79*(SUMPRODUCT(Popn!K$204:K$214,Tracks!$B$88:$B$98)+SUMPRODUCT(Popn!K$215:K$225,Tracks!$C$88:$C$98)),J$80*Popn!K$202,SUM(J$82:J$85)*Popn!K$203)/(J$87-J$75)</f>
        <v>2.4219546531144588E-3</v>
      </c>
      <c r="L268" s="125">
        <f ca="1">SUM(K$77*(SUMPRODUCT(Popn!L$204:L$214,Tracks!$F$88:$F$98)+SUMPRODUCT(Popn!L$215:L$225,Tracks!$G$88:$G$98))*AVERAGE(0,L$251*L$254/(K$251*K$254)-1),K$78*(SUMPRODUCT(Popn!L$204:L$214,Tracks!$D$88:$D$98)+SUMPRODUCT(Popn!L$215:L$225,Tracks!$E$88:$E$98)),K$79*(SUMPRODUCT(Popn!L$204:L$214,Tracks!$B$88:$B$98)+SUMPRODUCT(Popn!L$215:L$225,Tracks!$C$88:$C$98)),K$80*Popn!L$202,SUM(K$82:K$85)*Popn!L$203)/(K$87-K$75)</f>
        <v>4.6203422673170812E-3</v>
      </c>
      <c r="M268" s="125">
        <f ca="1">SUM(L$77*(SUMPRODUCT(Popn!M$204:M$214,Tracks!$F$88:$F$98)+SUMPRODUCT(Popn!M$215:M$225,Tracks!$G$88:$G$98))*AVERAGE(0,M$251*M$254/(L$251*L$254)-1),L$78*(SUMPRODUCT(Popn!M$204:M$214,Tracks!$D$88:$D$98)+SUMPRODUCT(Popn!M$215:M$225,Tracks!$E$88:$E$98)),L$79*(SUMPRODUCT(Popn!M$204:M$214,Tracks!$B$88:$B$98)+SUMPRODUCT(Popn!M$215:M$225,Tracks!$C$88:$C$98)),L$80*Popn!M$202,SUM(L$82:L$85)*Popn!M$203)/(L$87-L$75)</f>
        <v>4.7508187245477191E-3</v>
      </c>
      <c r="N268" s="125">
        <f ca="1">SUM(M$77*(SUMPRODUCT(Popn!N$204:N$214,Tracks!$F$88:$F$98)+SUMPRODUCT(Popn!N$215:N$225,Tracks!$G$88:$G$98))*AVERAGE(0,N$251*N$254/(M$251*M$254)-1),M$78*(SUMPRODUCT(Popn!N$204:N$214,Tracks!$D$88:$D$98)+SUMPRODUCT(Popn!N$215:N$225,Tracks!$E$88:$E$98)),M$79*(SUMPRODUCT(Popn!N$204:N$214,Tracks!$B$88:$B$98)+SUMPRODUCT(Popn!N$215:N$225,Tracks!$C$88:$C$98)),M$80*Popn!N$202,SUM(M$82:M$85)*Popn!N$203)/(M$87-M$75)</f>
        <v>4.4987087819193267E-3</v>
      </c>
      <c r="O268" s="142">
        <f ca="1">SUM(N$77*(SUMPRODUCT(Popn!O$204:O$214,Tracks!$F$88:$F$98)+SUMPRODUCT(Popn!O$215:O$225,Tracks!$G$88:$G$98))*AVERAGE(0,O$251*O$254/(N$251*N$254)-1),N$78*(SUMPRODUCT(Popn!O$204:O$214,Tracks!$D$88:$D$98)+SUMPRODUCT(Popn!O$215:O$225,Tracks!$E$88:$E$98)),N$79*(SUMPRODUCT(Popn!O$204:O$214,Tracks!$B$88:$B$98)+SUMPRODUCT(Popn!O$215:O$225,Tracks!$C$88:$C$98)),N$80*Popn!O$202,SUM(N$82:N$85)*Popn!O$203)/(N$87-N$75)</f>
        <v>4.6967136971895439E-3</v>
      </c>
      <c r="P268" s="142">
        <f ca="1">SUM(O$77*(SUMPRODUCT(Popn!P$204:P$214,Tracks!$F$88:$F$98)+SUMPRODUCT(Popn!P$215:P$225,Tracks!$G$88:$G$98))*AVERAGE(0,P$251*P$254/(O$251*O$254)-1),O$78*(SUMPRODUCT(Popn!P$204:P$214,Tracks!$D$88:$D$98)+SUMPRODUCT(Popn!P$215:P$225,Tracks!$E$88:$E$98)),O$79*(SUMPRODUCT(Popn!P$204:P$214,Tracks!$B$88:$B$98)+SUMPRODUCT(Popn!P$215:P$225,Tracks!$C$88:$C$98)),O$80*Popn!P$202,SUM(O$82:O$85)*Popn!P$203)/(O$87-O$75)</f>
        <v>4.5039556972579975E-3</v>
      </c>
      <c r="Q268" s="142">
        <f ca="1">SUM(P$77*(SUMPRODUCT(Popn!Q$204:Q$214,Tracks!$F$88:$F$98)+SUMPRODUCT(Popn!Q$215:Q$225,Tracks!$G$88:$G$98))*AVERAGE(0,Q$251*Q$254/(P$251*P$254)-1),P$78*(SUMPRODUCT(Popn!Q$204:Q$214,Tracks!$D$88:$D$98)+SUMPRODUCT(Popn!Q$215:Q$225,Tracks!$E$88:$E$98)),P$79*(SUMPRODUCT(Popn!Q$204:Q$214,Tracks!$B$88:$B$98)+SUMPRODUCT(Popn!Q$215:Q$225,Tracks!$C$88:$C$98)),P$80*Popn!Q$202,SUM(P$82:P$85)*Popn!Q$203)/(P$87-P$75)</f>
        <v>4.5959101591132086E-3</v>
      </c>
      <c r="R268" s="142">
        <f ca="1">SUM(Q$77*(SUMPRODUCT(Popn!R$204:R$214,Tracks!$F$88:$F$98)+SUMPRODUCT(Popn!R$215:R$225,Tracks!$G$88:$G$98))*AVERAGE(0,R$251*R$254/(Q$251*Q$254)-1),Q$78*(SUMPRODUCT(Popn!R$204:R$214,Tracks!$D$88:$D$98)+SUMPRODUCT(Popn!R$215:R$225,Tracks!$E$88:$E$98)),Q$79*(SUMPRODUCT(Popn!R$204:R$214,Tracks!$B$88:$B$98)+SUMPRODUCT(Popn!R$215:R$225,Tracks!$C$88:$C$98)),Q$80*Popn!R$202,SUM(Q$82:Q$85)*Popn!R$203)/(Q$87-Q$75)</f>
        <v>4.8426943876725423E-3</v>
      </c>
      <c r="S268" s="142">
        <f ca="1">SUM(R$77*(SUMPRODUCT(Popn!S$204:S$214,Tracks!$F$88:$F$98)+SUMPRODUCT(Popn!S$215:S$225,Tracks!$G$88:$G$98))*AVERAGE(0,S$251*S$254/(R$251*R$254)-1),R$78*(SUMPRODUCT(Popn!S$204:S$214,Tracks!$D$88:$D$98)+SUMPRODUCT(Popn!S$215:S$225,Tracks!$E$88:$E$98)),R$79*(SUMPRODUCT(Popn!S$204:S$214,Tracks!$B$88:$B$98)+SUMPRODUCT(Popn!S$215:S$225,Tracks!$C$88:$C$98)),R$80*Popn!S$202,SUM(R$82:R$85)*Popn!S$203)/(R$87-R$75)</f>
        <v>4.9253408925769146E-3</v>
      </c>
      <c r="T268" s="142">
        <f ca="1">SUM(S$77*(SUMPRODUCT(Popn!T$204:T$214,Tracks!$F$88:$F$98)+SUMPRODUCT(Popn!T$215:T$225,Tracks!$G$88:$G$98))*AVERAGE(0,T$251*T$254/(S$251*S$254)-1),S$78*(SUMPRODUCT(Popn!T$204:T$214,Tracks!$D$88:$D$98)+SUMPRODUCT(Popn!T$215:T$225,Tracks!$E$88:$E$98)),S$79*(SUMPRODUCT(Popn!T$204:T$214,Tracks!$B$88:$B$98)+SUMPRODUCT(Popn!T$215:T$225,Tracks!$C$88:$C$98)),S$80*Popn!T$202,SUM(S$82:S$85)*Popn!T$203)/(S$87-S$75)</f>
        <v>4.7656602733080027E-3</v>
      </c>
      <c r="U268" s="142">
        <f ca="1">SUM(T$77*(SUMPRODUCT(Popn!U$204:U$214,Tracks!$F$88:$F$98)+SUMPRODUCT(Popn!U$215:U$225,Tracks!$G$88:$G$98))*AVERAGE(0,U$251*U$254/(T$251*T$254)-1),T$78*(SUMPRODUCT(Popn!U$204:U$214,Tracks!$D$88:$D$98)+SUMPRODUCT(Popn!U$215:U$225,Tracks!$E$88:$E$98)),T$79*(SUMPRODUCT(Popn!U$204:U$214,Tracks!$B$88:$B$98)+SUMPRODUCT(Popn!U$215:U$225,Tracks!$C$88:$C$98)),T$80*Popn!U$202,SUM(T$82:T$85)*Popn!U$203)/(T$87-T$75)</f>
        <v>4.6889710737195826E-3</v>
      </c>
      <c r="V268" s="142">
        <f ca="1">SUM(U$77*(SUMPRODUCT(Popn!V$204:V$214,Tracks!$F$88:$F$98)+SUMPRODUCT(Popn!V$215:V$225,Tracks!$G$88:$G$98))*AVERAGE(0,V$251*V$254/(U$251*U$254)-1),U$78*(SUMPRODUCT(Popn!V$204:V$214,Tracks!$D$88:$D$98)+SUMPRODUCT(Popn!V$215:V$225,Tracks!$E$88:$E$98)),U$79*(SUMPRODUCT(Popn!V$204:V$214,Tracks!$B$88:$B$98)+SUMPRODUCT(Popn!V$215:V$225,Tracks!$C$88:$C$98)),U$80*Popn!V$202,SUM(U$82:U$85)*Popn!V$203)/(U$87-U$75)</f>
        <v>4.5049935119708751E-3</v>
      </c>
      <c r="W268" s="142">
        <f ca="1">SUM(V$77*(SUMPRODUCT(Popn!W$204:W$214,Tracks!$F$88:$F$98)+SUMPRODUCT(Popn!W$215:W$225,Tracks!$G$88:$G$98))*AVERAGE(0,W$251*W$254/(V$251*V$254)-1),V$78*(SUMPRODUCT(Popn!W$204:W$214,Tracks!$D$88:$D$98)+SUMPRODUCT(Popn!W$215:W$225,Tracks!$E$88:$E$98)),V$79*(SUMPRODUCT(Popn!W$204:W$214,Tracks!$B$88:$B$98)+SUMPRODUCT(Popn!W$215:W$225,Tracks!$C$88:$C$98)),V$80*Popn!W$202,SUM(V$82:V$85)*Popn!W$203)/(V$87-V$75)</f>
        <v>4.061201487639365E-3</v>
      </c>
      <c r="X268" s="142">
        <f ca="1">SUM(W$77*(SUMPRODUCT(Popn!X$204:X$214,Tracks!$F$88:$F$98)+SUMPRODUCT(Popn!X$215:X$225,Tracks!$G$88:$G$98))*AVERAGE(0,X$251*X$254/(W$251*W$254)-1),W$78*(SUMPRODUCT(Popn!X$204:X$214,Tracks!$D$88:$D$98)+SUMPRODUCT(Popn!X$215:X$225,Tracks!$E$88:$E$98)),W$79*(SUMPRODUCT(Popn!X$204:X$214,Tracks!$B$88:$B$98)+SUMPRODUCT(Popn!X$215:X$225,Tracks!$C$88:$C$98)),W$80*Popn!X$202,SUM(W$82:W$85)*Popn!X$203)/(W$87-W$75)</f>
        <v>3.5811370843147586E-3</v>
      </c>
    </row>
    <row r="269" spans="1:24" x14ac:dyDescent="0.2">
      <c r="A269" s="28" t="s">
        <v>218</v>
      </c>
      <c r="D269" s="72"/>
      <c r="E269" s="70">
        <f t="shared" ref="E269:X269" si="137">E$247</f>
        <v>4.0196078431372628E-2</v>
      </c>
      <c r="F269" s="70">
        <f t="shared" si="137"/>
        <v>1.8850141376060225E-2</v>
      </c>
      <c r="G269" s="70">
        <f t="shared" si="137"/>
        <v>1.6651248843663202E-2</v>
      </c>
      <c r="H269" s="70">
        <f t="shared" si="137"/>
        <v>5.277525022747942E-2</v>
      </c>
      <c r="I269" s="70">
        <f t="shared" si="137"/>
        <v>9.5073465859982775E-3</v>
      </c>
      <c r="J269" s="125">
        <f t="shared" ca="1" si="137"/>
        <v>1.0273972602739656E-2</v>
      </c>
      <c r="K269" s="125">
        <f t="shared" ca="1" si="137"/>
        <v>1.8644067796610209E-2</v>
      </c>
      <c r="L269" s="125">
        <f t="shared" ca="1" si="137"/>
        <v>1.830282861896837E-2</v>
      </c>
      <c r="M269" s="125">
        <f t="shared" ca="1" si="137"/>
        <v>2.2058823529411686E-2</v>
      </c>
      <c r="N269" s="125">
        <f t="shared" ca="1" si="137"/>
        <v>2.2382094324540303E-2</v>
      </c>
      <c r="O269" s="142">
        <f t="shared" ca="1" si="137"/>
        <v>2.0382094324540301E-2</v>
      </c>
      <c r="P269" s="142">
        <f t="shared" ca="1" si="137"/>
        <v>0.02</v>
      </c>
      <c r="Q269" s="142">
        <f t="shared" ca="1" si="137"/>
        <v>0.02</v>
      </c>
      <c r="R269" s="142">
        <f t="shared" ca="1" si="137"/>
        <v>0.02</v>
      </c>
      <c r="S269" s="142">
        <f t="shared" ca="1" si="137"/>
        <v>0.02</v>
      </c>
      <c r="T269" s="142">
        <f t="shared" ca="1" si="137"/>
        <v>0.02</v>
      </c>
      <c r="U269" s="142">
        <f t="shared" ca="1" si="137"/>
        <v>0.02</v>
      </c>
      <c r="V269" s="142">
        <f t="shared" ca="1" si="137"/>
        <v>0.02</v>
      </c>
      <c r="W269" s="142">
        <f t="shared" ca="1" si="137"/>
        <v>0.02</v>
      </c>
      <c r="X269" s="142">
        <f t="shared" ca="1" si="137"/>
        <v>0.02</v>
      </c>
    </row>
    <row r="270" spans="1:24" x14ac:dyDescent="0.2">
      <c r="A270" s="28" t="s">
        <v>181</v>
      </c>
      <c r="D270" s="72"/>
      <c r="E270" s="217">
        <f t="shared" ref="E270:X270" si="138">(E$87-E$75)/(D$87-D$75) -(1+E$268+E$269)</f>
        <v>1.3436893736446853E-2</v>
      </c>
      <c r="F270" s="217">
        <f t="shared" si="138"/>
        <v>8.2760247505316853E-2</v>
      </c>
      <c r="G270" s="217">
        <f t="shared" si="138"/>
        <v>8.7158723323321752E-2</v>
      </c>
      <c r="H270" s="217">
        <f t="shared" si="138"/>
        <v>-3.3460253674249429E-2</v>
      </c>
      <c r="I270" s="217">
        <f t="shared" si="138"/>
        <v>-6.6427548377670176E-2</v>
      </c>
      <c r="J270" s="143">
        <f t="shared" ca="1" si="138"/>
        <v>5.1321330300959644E-3</v>
      </c>
      <c r="K270" s="143">
        <f t="shared" ca="1" si="138"/>
        <v>-1.7668961302624409E-2</v>
      </c>
      <c r="L270" s="143">
        <f t="shared" ca="1" si="138"/>
        <v>-2.9694291270506934E-2</v>
      </c>
      <c r="M270" s="143">
        <f t="shared" ca="1" si="138"/>
        <v>-4.1316182087491105E-2</v>
      </c>
      <c r="N270" s="143">
        <f t="shared" ca="1" si="138"/>
        <v>-1.8676169901826301E-2</v>
      </c>
      <c r="O270" s="144">
        <f t="shared" ca="1" si="138"/>
        <v>-2.602188043001763E-2</v>
      </c>
      <c r="P270" s="144">
        <f t="shared" ca="1" si="138"/>
        <v>-3.8188825318821173E-3</v>
      </c>
      <c r="Q270" s="144">
        <f t="shared" ca="1" si="138"/>
        <v>-3.38107405121435E-3</v>
      </c>
      <c r="R270" s="144">
        <f t="shared" ca="1" si="138"/>
        <v>-3.411787571868663E-3</v>
      </c>
      <c r="S270" s="144">
        <f t="shared" ca="1" si="138"/>
        <v>-3.2312037453527953E-3</v>
      </c>
      <c r="T270" s="144">
        <f t="shared" ca="1" si="138"/>
        <v>-2.11549069658723E-3</v>
      </c>
      <c r="U270" s="144">
        <f t="shared" ca="1" si="138"/>
        <v>-1.5738266446021498E-3</v>
      </c>
      <c r="V270" s="144">
        <f t="shared" ca="1" si="138"/>
        <v>-1.3861845837661591E-3</v>
      </c>
      <c r="W270" s="144">
        <f t="shared" ca="1" si="138"/>
        <v>-1.2691102035549129E-3</v>
      </c>
      <c r="X270" s="144">
        <f t="shared" ca="1" si="138"/>
        <v>-1.3441216922065458E-3</v>
      </c>
    </row>
    <row r="271" spans="1:24" x14ac:dyDescent="0.2">
      <c r="A271" s="82" t="s">
        <v>177</v>
      </c>
      <c r="D271" s="72"/>
      <c r="E271" s="218">
        <f t="shared" ref="E271:X271" si="139">(E$87-E$75)/(D$87-D$75) -1</f>
        <v>5.7340831492267208E-2</v>
      </c>
      <c r="F271" s="218">
        <f t="shared" si="139"/>
        <v>0.10532814132396262</v>
      </c>
      <c r="G271" s="218">
        <f t="shared" si="139"/>
        <v>0.1080082488400067</v>
      </c>
      <c r="H271" s="218">
        <f t="shared" si="139"/>
        <v>2.1713842574641262E-2</v>
      </c>
      <c r="I271" s="218">
        <f t="shared" si="139"/>
        <v>-5.5483870967741877E-2</v>
      </c>
      <c r="J271" s="120">
        <f t="shared" ca="1" si="139"/>
        <v>1.7197042751527114E-2</v>
      </c>
      <c r="K271" s="120">
        <f t="shared" ca="1" si="139"/>
        <v>3.3970611471003664E-3</v>
      </c>
      <c r="L271" s="120">
        <f t="shared" ca="1" si="139"/>
        <v>-6.7711203842215628E-3</v>
      </c>
      <c r="M271" s="120">
        <f t="shared" ca="1" si="139"/>
        <v>-1.4506539833531673E-2</v>
      </c>
      <c r="N271" s="120">
        <f t="shared" ca="1" si="139"/>
        <v>8.2046332046332715E-3</v>
      </c>
      <c r="O271" s="119">
        <f t="shared" ca="1" si="139"/>
        <v>-9.430724082877262E-4</v>
      </c>
      <c r="P271" s="119">
        <f t="shared" ca="1" si="139"/>
        <v>2.0685073165375822E-2</v>
      </c>
      <c r="Q271" s="119">
        <f t="shared" ca="1" si="139"/>
        <v>2.1214836107898982E-2</v>
      </c>
      <c r="R271" s="119">
        <f t="shared" ca="1" si="139"/>
        <v>2.1430906815803841E-2</v>
      </c>
      <c r="S271" s="119">
        <f t="shared" ca="1" si="139"/>
        <v>2.1694137147224124E-2</v>
      </c>
      <c r="T271" s="119">
        <f t="shared" ca="1" si="139"/>
        <v>2.2650169576720725E-2</v>
      </c>
      <c r="U271" s="119">
        <f t="shared" ca="1" si="139"/>
        <v>2.3115144429117551E-2</v>
      </c>
      <c r="V271" s="119">
        <f t="shared" ca="1" si="139"/>
        <v>2.3118808928204837E-2</v>
      </c>
      <c r="W271" s="119">
        <f t="shared" ca="1" si="139"/>
        <v>2.2792091284084437E-2</v>
      </c>
      <c r="X271" s="119">
        <f t="shared" ca="1" si="139"/>
        <v>2.2237015392108317E-2</v>
      </c>
    </row>
    <row r="272" spans="1:24" x14ac:dyDescent="0.2">
      <c r="A272" s="27" t="s">
        <v>432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</row>
    <row r="273" spans="1:24" x14ac:dyDescent="0.2">
      <c r="A273" s="28" t="s">
        <v>175</v>
      </c>
      <c r="D273" s="72"/>
      <c r="E273" s="70">
        <f t="shared" ref="E273:X273" si="140">SUM(E$105,E$106)/SUM(D$105,D$106)-1</f>
        <v>1.6397870270594916E-2</v>
      </c>
      <c r="F273" s="70">
        <f t="shared" si="140"/>
        <v>1.711707705029486E-2</v>
      </c>
      <c r="G273" s="70">
        <f t="shared" si="140"/>
        <v>1.8741381994941353E-2</v>
      </c>
      <c r="H273" s="70">
        <f t="shared" si="140"/>
        <v>1.5889953073744634E-2</v>
      </c>
      <c r="I273" s="70">
        <f t="shared" si="140"/>
        <v>1.3678687421145419E-2</v>
      </c>
      <c r="J273" s="125">
        <f t="shared" si="140"/>
        <v>1.3283785605454401E-2</v>
      </c>
      <c r="K273" s="125">
        <f t="shared" si="140"/>
        <v>1.4689458309397274E-2</v>
      </c>
      <c r="L273" s="125">
        <f t="shared" si="140"/>
        <v>1.5898196228698369E-2</v>
      </c>
      <c r="M273" s="125">
        <f t="shared" si="140"/>
        <v>1.6476777356024819E-2</v>
      </c>
      <c r="N273" s="125">
        <f t="shared" si="140"/>
        <v>1.6967393891114124E-2</v>
      </c>
      <c r="O273" s="142">
        <f t="shared" si="140"/>
        <v>1.6212064152021366E-2</v>
      </c>
      <c r="P273" s="142">
        <f t="shared" si="140"/>
        <v>1.6436999112397599E-2</v>
      </c>
      <c r="Q273" s="142">
        <f t="shared" si="140"/>
        <v>1.6594077278740738E-2</v>
      </c>
      <c r="R273" s="142">
        <f t="shared" si="140"/>
        <v>1.6979353243258943E-2</v>
      </c>
      <c r="S273" s="142">
        <f t="shared" si="140"/>
        <v>1.7554871323708365E-2</v>
      </c>
      <c r="T273" s="142">
        <f t="shared" si="140"/>
        <v>1.6640666263334269E-2</v>
      </c>
      <c r="U273" s="142">
        <f t="shared" si="140"/>
        <v>1.6747855622376573E-2</v>
      </c>
      <c r="V273" s="142">
        <f t="shared" si="140"/>
        <v>1.6793340128973933E-2</v>
      </c>
      <c r="W273" s="142">
        <f t="shared" si="140"/>
        <v>1.6926368023884031E-2</v>
      </c>
      <c r="X273" s="142">
        <f t="shared" si="140"/>
        <v>1.7172716774673358E-2</v>
      </c>
    </row>
    <row r="274" spans="1:24" x14ac:dyDescent="0.2">
      <c r="A274" s="28" t="s">
        <v>218</v>
      </c>
      <c r="D274" s="72"/>
      <c r="E274" s="70">
        <f t="shared" ref="E274:X274" si="141">E$247</f>
        <v>4.0196078431372628E-2</v>
      </c>
      <c r="F274" s="70">
        <f t="shared" si="141"/>
        <v>1.8850141376060225E-2</v>
      </c>
      <c r="G274" s="70">
        <f t="shared" si="141"/>
        <v>1.6651248843663202E-2</v>
      </c>
      <c r="H274" s="70">
        <f t="shared" si="141"/>
        <v>5.277525022747942E-2</v>
      </c>
      <c r="I274" s="70">
        <f t="shared" si="141"/>
        <v>9.5073465859982775E-3</v>
      </c>
      <c r="J274" s="125">
        <f t="shared" ca="1" si="141"/>
        <v>1.0273972602739656E-2</v>
      </c>
      <c r="K274" s="125">
        <f t="shared" ca="1" si="141"/>
        <v>1.8644067796610209E-2</v>
      </c>
      <c r="L274" s="125">
        <f t="shared" ca="1" si="141"/>
        <v>1.830282861896837E-2</v>
      </c>
      <c r="M274" s="125">
        <f t="shared" ca="1" si="141"/>
        <v>2.2058823529411686E-2</v>
      </c>
      <c r="N274" s="125">
        <f t="shared" ca="1" si="141"/>
        <v>2.2382094324540303E-2</v>
      </c>
      <c r="O274" s="142">
        <f t="shared" ca="1" si="141"/>
        <v>2.0382094324540301E-2</v>
      </c>
      <c r="P274" s="142">
        <f t="shared" ca="1" si="141"/>
        <v>0.02</v>
      </c>
      <c r="Q274" s="142">
        <f t="shared" ca="1" si="141"/>
        <v>0.02</v>
      </c>
      <c r="R274" s="142">
        <f t="shared" ca="1" si="141"/>
        <v>0.02</v>
      </c>
      <c r="S274" s="142">
        <f t="shared" ca="1" si="141"/>
        <v>0.02</v>
      </c>
      <c r="T274" s="142">
        <f t="shared" ca="1" si="141"/>
        <v>0.02</v>
      </c>
      <c r="U274" s="142">
        <f t="shared" ca="1" si="141"/>
        <v>0.02</v>
      </c>
      <c r="V274" s="142">
        <f t="shared" ca="1" si="141"/>
        <v>0.02</v>
      </c>
      <c r="W274" s="142">
        <f t="shared" ca="1" si="141"/>
        <v>0.02</v>
      </c>
      <c r="X274" s="142">
        <f t="shared" ca="1" si="141"/>
        <v>0.02</v>
      </c>
    </row>
    <row r="275" spans="1:24" x14ac:dyDescent="0.2">
      <c r="A275" s="28" t="s">
        <v>183</v>
      </c>
      <c r="D275" s="72"/>
      <c r="E275" s="217">
        <f t="shared" ref="E275:X275" si="142">E$103/D$103 -(1+E$273+E$274)</f>
        <v>3.4376596928162861E-2</v>
      </c>
      <c r="F275" s="217">
        <f t="shared" si="142"/>
        <v>5.8836711820613008E-2</v>
      </c>
      <c r="G275" s="217">
        <f t="shared" si="142"/>
        <v>2.6056269549493694E-2</v>
      </c>
      <c r="H275" s="217">
        <f t="shared" si="142"/>
        <v>-2.1057037548634083E-2</v>
      </c>
      <c r="I275" s="217">
        <f t="shared" si="142"/>
        <v>6.4075092197886097E-3</v>
      </c>
      <c r="J275" s="143">
        <f t="shared" ca="1" si="142"/>
        <v>2.2896994189245401E-3</v>
      </c>
      <c r="K275" s="143">
        <f t="shared" ca="1" si="142"/>
        <v>-4.1444857645507316E-3</v>
      </c>
      <c r="L275" s="143">
        <f t="shared" ca="1" si="142"/>
        <v>-3.8883299095158308E-2</v>
      </c>
      <c r="M275" s="143">
        <f t="shared" ca="1" si="142"/>
        <v>-3.6519471853178498E-2</v>
      </c>
      <c r="N275" s="143">
        <f t="shared" ca="1" si="142"/>
        <v>-4.0825008001033392E-2</v>
      </c>
      <c r="O275" s="144">
        <f t="shared" ca="1" si="142"/>
        <v>-3.6594158476561667E-2</v>
      </c>
      <c r="P275" s="144">
        <f t="shared" ca="1" si="142"/>
        <v>-3.6436999112397617E-2</v>
      </c>
      <c r="Q275" s="144">
        <f t="shared" ca="1" si="142"/>
        <v>-3.6594077278740755E-2</v>
      </c>
      <c r="R275" s="144">
        <f t="shared" ca="1" si="142"/>
        <v>-3.6979353243258961E-2</v>
      </c>
      <c r="S275" s="144">
        <f t="shared" ca="1" si="142"/>
        <v>-3.7554871323708383E-2</v>
      </c>
      <c r="T275" s="144">
        <f t="shared" ca="1" si="142"/>
        <v>-3.6640666263334287E-2</v>
      </c>
      <c r="U275" s="144">
        <f t="shared" ca="1" si="142"/>
        <v>-3.6747855622376591E-2</v>
      </c>
      <c r="V275" s="144">
        <f t="shared" ca="1" si="142"/>
        <v>-3.679334012897395E-2</v>
      </c>
      <c r="W275" s="144">
        <f t="shared" ca="1" si="142"/>
        <v>-3.6926368023884049E-2</v>
      </c>
      <c r="X275" s="144">
        <f t="shared" ca="1" si="142"/>
        <v>-3.7172716774673376E-2</v>
      </c>
    </row>
    <row r="276" spans="1:24" x14ac:dyDescent="0.2">
      <c r="A276" s="82" t="s">
        <v>177</v>
      </c>
      <c r="D276" s="72"/>
      <c r="E276" s="218">
        <f t="shared" ref="E276:X276" si="143">E$103/D$103 -1</f>
        <v>9.0970545630130406E-2</v>
      </c>
      <c r="F276" s="218">
        <f t="shared" si="143"/>
        <v>9.4803930246968093E-2</v>
      </c>
      <c r="G276" s="218">
        <f t="shared" si="143"/>
        <v>6.1448900388098249E-2</v>
      </c>
      <c r="H276" s="218">
        <f t="shared" si="143"/>
        <v>4.760816575258997E-2</v>
      </c>
      <c r="I276" s="218">
        <f t="shared" si="143"/>
        <v>2.9593543226932306E-2</v>
      </c>
      <c r="J276" s="120">
        <f t="shared" ca="1" si="143"/>
        <v>2.5847457627118597E-2</v>
      </c>
      <c r="K276" s="120">
        <f t="shared" ca="1" si="143"/>
        <v>2.9189040341456751E-2</v>
      </c>
      <c r="L276" s="120">
        <f t="shared" ca="1" si="143"/>
        <v>-4.6822742474915691E-3</v>
      </c>
      <c r="M276" s="120">
        <f t="shared" ca="1" si="143"/>
        <v>2.0161290322580072E-3</v>
      </c>
      <c r="N276" s="120">
        <f t="shared" ca="1" si="143"/>
        <v>-1.4755197853789648E-3</v>
      </c>
      <c r="O276" s="119">
        <f t="shared" ca="1" si="143"/>
        <v>0</v>
      </c>
      <c r="P276" s="119">
        <f t="shared" ca="1" si="143"/>
        <v>0</v>
      </c>
      <c r="Q276" s="119">
        <f t="shared" ca="1" si="143"/>
        <v>0</v>
      </c>
      <c r="R276" s="119">
        <f t="shared" ca="1" si="143"/>
        <v>0</v>
      </c>
      <c r="S276" s="119">
        <f t="shared" ca="1" si="143"/>
        <v>0</v>
      </c>
      <c r="T276" s="119">
        <f t="shared" ca="1" si="143"/>
        <v>0</v>
      </c>
      <c r="U276" s="119">
        <f t="shared" ca="1" si="143"/>
        <v>0</v>
      </c>
      <c r="V276" s="119">
        <f t="shared" ca="1" si="143"/>
        <v>0</v>
      </c>
      <c r="W276" s="119">
        <f t="shared" ca="1" si="143"/>
        <v>0</v>
      </c>
      <c r="X276" s="119">
        <f t="shared" ca="1" si="143"/>
        <v>0</v>
      </c>
    </row>
    <row r="277" spans="1:24" x14ac:dyDescent="0.2">
      <c r="A277" s="27" t="s">
        <v>520</v>
      </c>
      <c r="D277" s="72"/>
      <c r="E277" s="70"/>
      <c r="F277" s="70"/>
      <c r="G277" s="70"/>
      <c r="H277" s="70"/>
      <c r="I277" s="70"/>
      <c r="J277" s="125"/>
      <c r="K277" s="125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</row>
    <row r="278" spans="1:24" x14ac:dyDescent="0.2">
      <c r="A278" s="28" t="s">
        <v>175</v>
      </c>
      <c r="D278" s="72"/>
      <c r="E278" s="70">
        <f>AVERAGE(Popn!E$198:E$200)</f>
        <v>1.050387508174703E-2</v>
      </c>
      <c r="F278" s="70">
        <f>AVERAGE(Popn!F$198:F$200)</f>
        <v>1.536943655150865E-2</v>
      </c>
      <c r="G278" s="70">
        <f>AVERAGE(Popn!G$198:G$200)</f>
        <v>1.4666109437243224E-2</v>
      </c>
      <c r="H278" s="70">
        <f>AVERAGE(Popn!H$198:H$200)</f>
        <v>8.444610105723319E-3</v>
      </c>
      <c r="I278" s="70">
        <f>AVERAGE(Popn!I$198:I$200)</f>
        <v>4.9159925590402942E-4</v>
      </c>
      <c r="J278" s="125">
        <f>AVERAGE(Popn!J$198:J$200)</f>
        <v>-4.5019592189975048E-3</v>
      </c>
      <c r="K278" s="125">
        <f>AVERAGE(Popn!K$198:K$200)</f>
        <v>-3.156221619180092E-3</v>
      </c>
      <c r="L278" s="125">
        <f>AVERAGE(Popn!L$198:L$200)</f>
        <v>-4.5764379346257726E-3</v>
      </c>
      <c r="M278" s="125">
        <f>AVERAGE(Popn!M$198:M$200)</f>
        <v>-4.44389686121401E-3</v>
      </c>
      <c r="N278" s="125">
        <f>AVERAGE(Popn!N$198:N$200)</f>
        <v>-1.6966102811629691E-3</v>
      </c>
      <c r="O278" s="142">
        <f>AVERAGE(Popn!O$198:O$200)</f>
        <v>-5.0994178139588764E-4</v>
      </c>
      <c r="P278" s="142">
        <f>AVERAGE(Popn!P$198:P$200)</f>
        <v>7.4160888098158864E-5</v>
      </c>
      <c r="Q278" s="142">
        <f>AVERAGE(Popn!Q$198:Q$200)</f>
        <v>-5.7218752595777911E-4</v>
      </c>
      <c r="R278" s="142">
        <f>AVERAGE(Popn!R$198:R$200)</f>
        <v>3.5932983218286047E-4</v>
      </c>
      <c r="S278" s="142">
        <f>AVERAGE(Popn!S$198:S$200)</f>
        <v>2.2392768627520856E-3</v>
      </c>
      <c r="T278" s="142">
        <f>AVERAGE(Popn!T$198:T$200)</f>
        <v>2.1510763902641652E-3</v>
      </c>
      <c r="U278" s="142">
        <f>AVERAGE(Popn!U$198:U$200)</f>
        <v>3.2928148407012081E-3</v>
      </c>
      <c r="V278" s="142">
        <f>AVERAGE(Popn!V$198:V$200)</f>
        <v>2.6437124377133672E-3</v>
      </c>
      <c r="W278" s="142">
        <f>AVERAGE(Popn!W$198:W$200)</f>
        <v>4.220163047237639E-3</v>
      </c>
      <c r="X278" s="142">
        <f>AVERAGE(Popn!X$198:X$200)</f>
        <v>5.402380569866712E-3</v>
      </c>
    </row>
    <row r="279" spans="1:24" x14ac:dyDescent="0.2">
      <c r="A279" s="28" t="s">
        <v>218</v>
      </c>
      <c r="D279" s="72"/>
      <c r="E279" s="70">
        <f t="shared" ref="E279:X279" si="144">E$247</f>
        <v>4.0196078431372628E-2</v>
      </c>
      <c r="F279" s="70">
        <f t="shared" si="144"/>
        <v>1.8850141376060225E-2</v>
      </c>
      <c r="G279" s="70">
        <f t="shared" si="144"/>
        <v>1.6651248843663202E-2</v>
      </c>
      <c r="H279" s="70">
        <f t="shared" si="144"/>
        <v>5.277525022747942E-2</v>
      </c>
      <c r="I279" s="70">
        <f t="shared" si="144"/>
        <v>9.5073465859982775E-3</v>
      </c>
      <c r="J279" s="125">
        <f t="shared" ca="1" si="144"/>
        <v>1.0273972602739656E-2</v>
      </c>
      <c r="K279" s="125">
        <f t="shared" ca="1" si="144"/>
        <v>1.8644067796610209E-2</v>
      </c>
      <c r="L279" s="125">
        <f t="shared" ca="1" si="144"/>
        <v>1.830282861896837E-2</v>
      </c>
      <c r="M279" s="125">
        <f t="shared" ca="1" si="144"/>
        <v>2.2058823529411686E-2</v>
      </c>
      <c r="N279" s="125">
        <f t="shared" ca="1" si="144"/>
        <v>2.2382094324540303E-2</v>
      </c>
      <c r="O279" s="142">
        <f t="shared" ca="1" si="144"/>
        <v>2.0382094324540301E-2</v>
      </c>
      <c r="P279" s="142">
        <f t="shared" ca="1" si="144"/>
        <v>0.02</v>
      </c>
      <c r="Q279" s="142">
        <f t="shared" ca="1" si="144"/>
        <v>0.02</v>
      </c>
      <c r="R279" s="142">
        <f t="shared" ca="1" si="144"/>
        <v>0.02</v>
      </c>
      <c r="S279" s="142">
        <f t="shared" ca="1" si="144"/>
        <v>0.02</v>
      </c>
      <c r="T279" s="142">
        <f t="shared" ca="1" si="144"/>
        <v>0.02</v>
      </c>
      <c r="U279" s="142">
        <f t="shared" ca="1" si="144"/>
        <v>0.02</v>
      </c>
      <c r="V279" s="142">
        <f t="shared" ca="1" si="144"/>
        <v>0.02</v>
      </c>
      <c r="W279" s="142">
        <f t="shared" ca="1" si="144"/>
        <v>0.02</v>
      </c>
      <c r="X279" s="142">
        <f t="shared" ca="1" si="144"/>
        <v>0.02</v>
      </c>
    </row>
    <row r="280" spans="1:24" x14ac:dyDescent="0.2">
      <c r="A280" s="28" t="s">
        <v>143</v>
      </c>
      <c r="D280" s="72"/>
      <c r="E280" s="217">
        <f t="shared" ref="E280:X280" si="145">E$112/D$112 -(1+E$278+E$279)</f>
        <v>-2.0275959554763912E-2</v>
      </c>
      <c r="F280" s="217">
        <f t="shared" si="145"/>
        <v>0.16513127538622019</v>
      </c>
      <c r="G280" s="217">
        <f t="shared" si="145"/>
        <v>-7.8341631696015046E-3</v>
      </c>
      <c r="H280" s="217">
        <f t="shared" si="145"/>
        <v>-6.7531699296014103E-2</v>
      </c>
      <c r="I280" s="217">
        <f t="shared" si="145"/>
        <v>-9.6555982024173481E-3</v>
      </c>
      <c r="J280" s="143">
        <f t="shared" ca="1" si="145"/>
        <v>5.4379007724890238E-2</v>
      </c>
      <c r="K280" s="143">
        <f t="shared" ca="1" si="145"/>
        <v>-1.2735923878765654E-2</v>
      </c>
      <c r="L280" s="143">
        <f t="shared" ca="1" si="145"/>
        <v>-7.8340668486818199E-3</v>
      </c>
      <c r="M280" s="143">
        <f t="shared" ca="1" si="145"/>
        <v>-1.0071996159451313E-2</v>
      </c>
      <c r="N280" s="143">
        <f t="shared" ca="1" si="145"/>
        <v>-1.6384751325951186E-2</v>
      </c>
      <c r="O280" s="144">
        <f t="shared" ca="1" si="145"/>
        <v>-1.6794379749904609E-2</v>
      </c>
      <c r="P280" s="144">
        <f t="shared" ca="1" si="145"/>
        <v>-1.6844947862939996E-2</v>
      </c>
      <c r="Q280" s="144">
        <f t="shared" ca="1" si="145"/>
        <v>-1.5833762041101318E-2</v>
      </c>
      <c r="R280" s="144">
        <f t="shared" ca="1" si="145"/>
        <v>-1.7214227615830913E-2</v>
      </c>
      <c r="S280" s="144">
        <f t="shared" ca="1" si="145"/>
        <v>-1.8217597891255544E-2</v>
      </c>
      <c r="T280" s="144">
        <f t="shared" ca="1" si="145"/>
        <v>-1.7776324308307112E-2</v>
      </c>
      <c r="U280" s="144">
        <f t="shared" ca="1" si="145"/>
        <v>-1.9614522769982212E-2</v>
      </c>
      <c r="V280" s="144">
        <f t="shared" ca="1" si="145"/>
        <v>-1.872176818231841E-2</v>
      </c>
      <c r="W280" s="144">
        <f t="shared" ca="1" si="145"/>
        <v>-1.9441976691358942E-2</v>
      </c>
      <c r="X280" s="144">
        <f t="shared" ca="1" si="145"/>
        <v>-2.0067073150987547E-2</v>
      </c>
    </row>
    <row r="281" spans="1:24" x14ac:dyDescent="0.2">
      <c r="A281" s="82" t="s">
        <v>177</v>
      </c>
      <c r="D281" s="72"/>
      <c r="E281" s="218">
        <f t="shared" ref="E281:X281" si="146">E$112/D$112 -1</f>
        <v>3.0423993958355711E-2</v>
      </c>
      <c r="F281" s="218">
        <f t="shared" si="146"/>
        <v>0.1993508533137891</v>
      </c>
      <c r="G281" s="218">
        <f t="shared" si="146"/>
        <v>2.3483195111305033E-2</v>
      </c>
      <c r="H281" s="218">
        <f t="shared" si="146"/>
        <v>-6.3118389628112892E-3</v>
      </c>
      <c r="I281" s="218">
        <f t="shared" si="146"/>
        <v>3.4334763948495883E-4</v>
      </c>
      <c r="J281" s="120">
        <f t="shared" ca="1" si="146"/>
        <v>6.0151021108632241E-2</v>
      </c>
      <c r="K281" s="120">
        <f t="shared" ca="1" si="146"/>
        <v>2.7519222986644998E-3</v>
      </c>
      <c r="L281" s="120">
        <f t="shared" ca="1" si="146"/>
        <v>5.8923238356607399E-3</v>
      </c>
      <c r="M281" s="120">
        <f t="shared" ca="1" si="146"/>
        <v>7.5429305087464371E-3</v>
      </c>
      <c r="N281" s="120">
        <f t="shared" ca="1" si="146"/>
        <v>4.3007327174260368E-3</v>
      </c>
      <c r="O281" s="119">
        <f t="shared" ca="1" si="146"/>
        <v>3.0777727932398413E-3</v>
      </c>
      <c r="P281" s="119">
        <f t="shared" ca="1" si="146"/>
        <v>3.2292130251581064E-3</v>
      </c>
      <c r="Q281" s="119">
        <f t="shared" ca="1" si="146"/>
        <v>3.5940504329408096E-3</v>
      </c>
      <c r="R281" s="119">
        <f t="shared" ca="1" si="146"/>
        <v>3.1451022163520026E-3</v>
      </c>
      <c r="S281" s="119">
        <f t="shared" ca="1" si="146"/>
        <v>4.0216789714966339E-3</v>
      </c>
      <c r="T281" s="119">
        <f t="shared" ca="1" si="146"/>
        <v>4.374752081957034E-3</v>
      </c>
      <c r="U281" s="119">
        <f t="shared" ca="1" si="146"/>
        <v>3.6782920707190137E-3</v>
      </c>
      <c r="V281" s="119">
        <f t="shared" ca="1" si="146"/>
        <v>3.921944255395049E-3</v>
      </c>
      <c r="W281" s="119">
        <f t="shared" ca="1" si="146"/>
        <v>4.7781863558786775E-3</v>
      </c>
      <c r="X281" s="119">
        <f t="shared" ca="1" si="146"/>
        <v>5.3353074188791094E-3</v>
      </c>
    </row>
    <row r="282" spans="1:24" x14ac:dyDescent="0.2">
      <c r="A282" s="27" t="s">
        <v>184</v>
      </c>
      <c r="D282" s="72"/>
      <c r="E282" s="70"/>
      <c r="F282" s="70"/>
      <c r="G282" s="70"/>
      <c r="H282" s="70"/>
      <c r="I282" s="70"/>
      <c r="J282" s="125"/>
      <c r="K282" s="125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</row>
    <row r="283" spans="1:24" x14ac:dyDescent="0.2">
      <c r="A283" s="28" t="s">
        <v>175</v>
      </c>
      <c r="D283" s="72"/>
      <c r="E283" s="261">
        <f>E$250</f>
        <v>1.2147478940300216E-2</v>
      </c>
      <c r="F283" s="261">
        <f>F$250</f>
        <v>1.1730293709667716E-2</v>
      </c>
      <c r="G283" s="261">
        <f>G$250</f>
        <v>1.4574826383714212E-2</v>
      </c>
      <c r="H283" s="261">
        <f>H$250</f>
        <v>1.2896592244418414E-2</v>
      </c>
      <c r="I283" s="261">
        <f>I$250</f>
        <v>8.9039705327880192E-3</v>
      </c>
      <c r="J283" s="276">
        <f t="shared" ref="J283:X283" ca="1" si="147">J$250</f>
        <v>8.3366871730006231E-3</v>
      </c>
      <c r="K283" s="276">
        <f t="shared" ca="1" si="147"/>
        <v>1.0491504162390308E-2</v>
      </c>
      <c r="L283" s="276">
        <f t="shared" ca="1" si="147"/>
        <v>1.1370048527254317E-2</v>
      </c>
      <c r="M283" s="276">
        <f t="shared" ca="1" si="147"/>
        <v>1.1102742209947669E-2</v>
      </c>
      <c r="N283" s="276">
        <f t="shared" ca="1" si="147"/>
        <v>1.0429024693061173E-2</v>
      </c>
      <c r="O283" s="277">
        <f t="shared" ca="1" si="147"/>
        <v>1.0006357927154763E-2</v>
      </c>
      <c r="P283" s="277">
        <f t="shared" si="147"/>
        <v>1.0236578103709704E-2</v>
      </c>
      <c r="Q283" s="277">
        <f t="shared" si="147"/>
        <v>9.9014846968690229E-3</v>
      </c>
      <c r="R283" s="277">
        <f t="shared" si="147"/>
        <v>1.0015281961297751E-2</v>
      </c>
      <c r="S283" s="277">
        <f t="shared" si="147"/>
        <v>1.0457263635426317E-2</v>
      </c>
      <c r="T283" s="277">
        <f t="shared" si="147"/>
        <v>1.0754635640801258E-2</v>
      </c>
      <c r="U283" s="277">
        <f t="shared" si="147"/>
        <v>1.0251543914817862E-2</v>
      </c>
      <c r="V283" s="277">
        <f t="shared" si="147"/>
        <v>1.0127530945927443E-2</v>
      </c>
      <c r="W283" s="277">
        <f t="shared" si="147"/>
        <v>9.5857786219328833E-3</v>
      </c>
      <c r="X283" s="277">
        <f t="shared" si="147"/>
        <v>8.9558454283791278E-3</v>
      </c>
    </row>
    <row r="284" spans="1:24" x14ac:dyDescent="0.2">
      <c r="A284" s="28" t="s">
        <v>218</v>
      </c>
      <c r="D284" s="72"/>
      <c r="E284" s="70">
        <f t="shared" ref="E284:X284" si="148">E$247</f>
        <v>4.0196078431372628E-2</v>
      </c>
      <c r="F284" s="70">
        <f t="shared" si="148"/>
        <v>1.8850141376060225E-2</v>
      </c>
      <c r="G284" s="70">
        <f t="shared" si="148"/>
        <v>1.6651248843663202E-2</v>
      </c>
      <c r="H284" s="70">
        <f t="shared" si="148"/>
        <v>5.277525022747942E-2</v>
      </c>
      <c r="I284" s="70">
        <f t="shared" si="148"/>
        <v>9.5073465859982775E-3</v>
      </c>
      <c r="J284" s="125">
        <f t="shared" ca="1" si="148"/>
        <v>1.0273972602739656E-2</v>
      </c>
      <c r="K284" s="125">
        <f t="shared" ca="1" si="148"/>
        <v>1.8644067796610209E-2</v>
      </c>
      <c r="L284" s="125">
        <f t="shared" ca="1" si="148"/>
        <v>1.830282861896837E-2</v>
      </c>
      <c r="M284" s="125">
        <f t="shared" ca="1" si="148"/>
        <v>2.2058823529411686E-2</v>
      </c>
      <c r="N284" s="125">
        <f t="shared" ca="1" si="148"/>
        <v>2.2382094324540303E-2</v>
      </c>
      <c r="O284" s="142">
        <f t="shared" ca="1" si="148"/>
        <v>2.0382094324540301E-2</v>
      </c>
      <c r="P284" s="142">
        <f t="shared" ca="1" si="148"/>
        <v>0.02</v>
      </c>
      <c r="Q284" s="142">
        <f t="shared" ca="1" si="148"/>
        <v>0.02</v>
      </c>
      <c r="R284" s="142">
        <f t="shared" ca="1" si="148"/>
        <v>0.02</v>
      </c>
      <c r="S284" s="142">
        <f t="shared" ca="1" si="148"/>
        <v>0.02</v>
      </c>
      <c r="T284" s="142">
        <f t="shared" ca="1" si="148"/>
        <v>0.02</v>
      </c>
      <c r="U284" s="142">
        <f t="shared" ca="1" si="148"/>
        <v>0.02</v>
      </c>
      <c r="V284" s="142">
        <f t="shared" ca="1" si="148"/>
        <v>0.02</v>
      </c>
      <c r="W284" s="142">
        <f t="shared" ca="1" si="148"/>
        <v>0.02</v>
      </c>
      <c r="X284" s="142">
        <f t="shared" ca="1" si="148"/>
        <v>0.02</v>
      </c>
    </row>
    <row r="285" spans="1:24" x14ac:dyDescent="0.2">
      <c r="A285" s="28" t="s">
        <v>425</v>
      </c>
      <c r="D285" s="72"/>
      <c r="E285" s="217">
        <f>SUM(E$99,E$116,E$122,E$128,E$138)/SUM(D$99,D$116,D$122,D$128,D$138) -(1+E$283+E$284)</f>
        <v>-1.7662232937698086E-2</v>
      </c>
      <c r="F285" s="217">
        <f t="shared" ref="F285:X285" si="149">SUM(F$99,F$116,F$122,F$128,F$138)/SUM(E$99,E$116,E$122,E$128,E$138) -(1+F$283+F$284)</f>
        <v>0.1310689451318281</v>
      </c>
      <c r="G285" s="217">
        <f t="shared" si="149"/>
        <v>-0.17838417627267344</v>
      </c>
      <c r="H285" s="217">
        <f t="shared" si="149"/>
        <v>0.2095276468354752</v>
      </c>
      <c r="I285" s="217">
        <f t="shared" si="149"/>
        <v>-0.1311966595296794</v>
      </c>
      <c r="J285" s="143">
        <f t="shared" ca="1" si="149"/>
        <v>3.1211605077839932E-2</v>
      </c>
      <c r="K285" s="143">
        <f t="shared" ca="1" si="149"/>
        <v>-6.439301579432255E-2</v>
      </c>
      <c r="L285" s="143">
        <f t="shared" ca="1" si="149"/>
        <v>-8.2430537313353591E-2</v>
      </c>
      <c r="M285" s="143">
        <f t="shared" ca="1" si="149"/>
        <v>-1.8752343837342034E-2</v>
      </c>
      <c r="N285" s="143">
        <f t="shared" ca="1" si="149"/>
        <v>-4.3363067069549621E-2</v>
      </c>
      <c r="O285" s="144">
        <f t="shared" ca="1" si="149"/>
        <v>-6.3105113463200579E-2</v>
      </c>
      <c r="P285" s="144">
        <f t="shared" ca="1" si="149"/>
        <v>-2.1322142664231603E-2</v>
      </c>
      <c r="Q285" s="144">
        <f t="shared" ca="1" si="149"/>
        <v>-2.1229194363692194E-2</v>
      </c>
      <c r="R285" s="144">
        <f t="shared" ca="1" si="149"/>
        <v>-2.1211625486648567E-2</v>
      </c>
      <c r="S285" s="144">
        <f t="shared" ca="1" si="149"/>
        <v>-2.1507185783680605E-2</v>
      </c>
      <c r="T285" s="144">
        <f t="shared" ca="1" si="149"/>
        <v>-2.0992124956690228E-2</v>
      </c>
      <c r="U285" s="144">
        <f t="shared" ca="1" si="149"/>
        <v>-1.9788661517783357E-2</v>
      </c>
      <c r="V285" s="144">
        <f t="shared" ca="1" si="149"/>
        <v>-1.9429879763922075E-2</v>
      </c>
      <c r="W285" s="144">
        <f t="shared" ca="1" si="149"/>
        <v>-1.8674546802359693E-2</v>
      </c>
      <c r="X285" s="144">
        <f t="shared" ca="1" si="149"/>
        <v>-1.7910036361180381E-2</v>
      </c>
    </row>
    <row r="286" spans="1:24" x14ac:dyDescent="0.2">
      <c r="A286" s="82" t="s">
        <v>177</v>
      </c>
      <c r="D286" s="72"/>
      <c r="E286" s="218">
        <f>SUM(E$99,E$116,E$122,E$128,E$138)/SUM(D$99,D$116,D$122,D$128,D$138) -1</f>
        <v>3.4681324433974758E-2</v>
      </c>
      <c r="F286" s="218">
        <f t="shared" ref="F286:X286" si="150">SUM(F$99,F$116,F$122,F$128,F$138)/SUM(E$99,E$116,E$122,E$128,E$138) -1</f>
        <v>0.16164938021755604</v>
      </c>
      <c r="G286" s="218">
        <f t="shared" si="150"/>
        <v>-0.14715810104529603</v>
      </c>
      <c r="H286" s="218">
        <f t="shared" si="150"/>
        <v>0.27519948930737304</v>
      </c>
      <c r="I286" s="218">
        <f t="shared" si="150"/>
        <v>-0.11278534241089311</v>
      </c>
      <c r="J286" s="120">
        <f t="shared" ca="1" si="150"/>
        <v>4.9822264853580212E-2</v>
      </c>
      <c r="K286" s="120">
        <f t="shared" ca="1" si="150"/>
        <v>-3.5257443835322033E-2</v>
      </c>
      <c r="L286" s="120">
        <f t="shared" ca="1" si="150"/>
        <v>-5.2757660167130904E-2</v>
      </c>
      <c r="M286" s="120">
        <f t="shared" ca="1" si="150"/>
        <v>1.4409221902017322E-2</v>
      </c>
      <c r="N286" s="120">
        <f t="shared" ca="1" si="150"/>
        <v>-1.0551948051948146E-2</v>
      </c>
      <c r="O286" s="119">
        <f t="shared" ca="1" si="150"/>
        <v>-3.2716661211505516E-2</v>
      </c>
      <c r="P286" s="119">
        <f t="shared" ca="1" si="150"/>
        <v>8.9144354394781189E-3</v>
      </c>
      <c r="Q286" s="119">
        <f t="shared" ca="1" si="150"/>
        <v>8.6722903331768464E-3</v>
      </c>
      <c r="R286" s="119">
        <f t="shared" ca="1" si="150"/>
        <v>8.8036564746492019E-3</v>
      </c>
      <c r="S286" s="119">
        <f t="shared" ca="1" si="150"/>
        <v>8.9500778517457302E-3</v>
      </c>
      <c r="T286" s="119">
        <f t="shared" ca="1" si="150"/>
        <v>9.7625106841110476E-3</v>
      </c>
      <c r="U286" s="119">
        <f t="shared" ca="1" si="150"/>
        <v>1.0462882397034523E-2</v>
      </c>
      <c r="V286" s="119">
        <f t="shared" ca="1" si="150"/>
        <v>1.0697651182005385E-2</v>
      </c>
      <c r="W286" s="119">
        <f t="shared" ca="1" si="150"/>
        <v>1.0911231819573208E-2</v>
      </c>
      <c r="X286" s="119">
        <f t="shared" ca="1" si="150"/>
        <v>1.1045809067198764E-2</v>
      </c>
    </row>
    <row r="287" spans="1:24" x14ac:dyDescent="0.2">
      <c r="K287" s="124"/>
    </row>
    <row r="288" spans="1:24" x14ac:dyDescent="0.2">
      <c r="A288" s="27" t="s">
        <v>522</v>
      </c>
      <c r="K288" s="124"/>
    </row>
    <row r="289" spans="1:16" x14ac:dyDescent="0.2">
      <c r="A289" s="28" t="s">
        <v>523</v>
      </c>
      <c r="D289" s="199" t="str">
        <f>IF(D$4&lt;=($C$4+'Forecast Adjuster'!$F$1),"History",D$4-$C$4-'Forecast Adjuster'!$F$1+1)</f>
        <v>History</v>
      </c>
      <c r="E289" s="199" t="str">
        <f>IF(E$4&lt;=($C$4+'Forecast Adjuster'!$F$1),"History",E$4-$C$4-'Forecast Adjuster'!$F$1+1)</f>
        <v>History</v>
      </c>
      <c r="F289" s="199" t="str">
        <f>IF(F$4&lt;=($C$4+'Forecast Adjuster'!$F$1),"History",F$4-$C$4-'Forecast Adjuster'!$F$1+1)</f>
        <v>History</v>
      </c>
      <c r="G289" s="199" t="str">
        <f>IF(G$4&lt;=($C$4+'Forecast Adjuster'!$F$1),"History",G$4-$C$4-'Forecast Adjuster'!$F$1+1)</f>
        <v>History</v>
      </c>
      <c r="H289" s="199" t="str">
        <f>IF(H$4&lt;=($C$4+'Forecast Adjuster'!$F$1),"History",H$4-$C$4-'Forecast Adjuster'!$F$1+1)</f>
        <v>History</v>
      </c>
      <c r="I289" s="199" t="str">
        <f>IF(I$4&lt;=($C$4+'Forecast Adjuster'!$F$1),"History",I$4-$C$4-'Forecast Adjuster'!$F$1+1)</f>
        <v>History</v>
      </c>
      <c r="J289" s="200">
        <f>IF(J$4&lt;=($C$4+'Forecast Adjuster'!$F$1),"History",J$4-$C$4-'Forecast Adjuster'!$F$1+1)</f>
        <v>2</v>
      </c>
      <c r="K289" s="200">
        <f>IF(K$4&lt;=($C$4+'Forecast Adjuster'!$F$1),"History",K$4-$C$4-'Forecast Adjuster'!$F$1+1)</f>
        <v>3</v>
      </c>
      <c r="L289" s="200">
        <f>IF(L$4&lt;=($C$4+'Forecast Adjuster'!$F$1),"History",L$4-$C$4-'Forecast Adjuster'!$F$1+1)</f>
        <v>4</v>
      </c>
      <c r="M289" s="200">
        <f>IF(M$4&lt;=($C$4+'Forecast Adjuster'!$F$1),"History",M$4-$C$4-'Forecast Adjuster'!$F$1+1)</f>
        <v>5</v>
      </c>
      <c r="N289" s="200">
        <f>IF(N$4&lt;=($C$4+'Forecast Adjuster'!$F$1),"History",N$4-$C$4-'Forecast Adjuster'!$F$1+1)</f>
        <v>6</v>
      </c>
      <c r="O289" s="200">
        <f>IF(O$4&lt;=($C$4+'Forecast Adjuster'!$F$1),"History",O$4-$C$4-'Forecast Adjuster'!$F$1+1)</f>
        <v>7</v>
      </c>
      <c r="P289" s="200">
        <f>IF(P$4&lt;=($C$4+'Forecast Adjuster'!$F$1),"History",P$4-$C$4-'Forecast Adjuster'!$F$1+1)</f>
        <v>8</v>
      </c>
    </row>
    <row r="290" spans="1:16" x14ac:dyDescent="0.2">
      <c r="A290" s="27" t="s">
        <v>364</v>
      </c>
      <c r="K290" s="124"/>
    </row>
    <row r="291" spans="1:16" x14ac:dyDescent="0.2">
      <c r="A291" s="28" t="s">
        <v>718</v>
      </c>
      <c r="J291" s="36">
        <f ca="1">IF($I$1="Yes",OFFSET('Forecast Adjuster'!$A$9,0,J$289)/1000,0)</f>
        <v>0</v>
      </c>
      <c r="K291" s="36">
        <f ca="1">IF($I$1="Yes",OFFSET('Forecast Adjuster'!$A$9,0,K$289)/1000,0)</f>
        <v>0</v>
      </c>
      <c r="L291" s="36">
        <f ca="1">IF($I$1="Yes",OFFSET('Forecast Adjuster'!$A$9,0,L$289)/1000,0)</f>
        <v>0</v>
      </c>
      <c r="M291" s="36">
        <f ca="1">IF($I$1="Yes",OFFSET('Forecast Adjuster'!$A$9,0,M$289)/1000,0)</f>
        <v>0</v>
      </c>
      <c r="N291" s="36">
        <f ca="1">IF($I$1="Yes",OFFSET('Forecast Adjuster'!$A$9,0,N$289)/1000,0)</f>
        <v>0</v>
      </c>
    </row>
    <row r="292" spans="1:16" x14ac:dyDescent="0.2">
      <c r="A292" s="28" t="s">
        <v>719</v>
      </c>
      <c r="J292" s="36">
        <f ca="1">IF($I$1="Yes",OFFSET('Forecast Adjuster'!$A$10,0,J$289)/1000,0)</f>
        <v>0</v>
      </c>
      <c r="K292" s="36">
        <f ca="1">IF($I$1="Yes",OFFSET('Forecast Adjuster'!$A$10,0,K$289)/1000,0)</f>
        <v>0</v>
      </c>
      <c r="L292" s="36">
        <f ca="1">IF($I$1="Yes",OFFSET('Forecast Adjuster'!$A$10,0,L$289)/1000,0)</f>
        <v>0</v>
      </c>
      <c r="M292" s="36">
        <f ca="1">IF($I$1="Yes",OFFSET('Forecast Adjuster'!$A$10,0,M$289)/1000,0)</f>
        <v>0</v>
      </c>
      <c r="N292" s="36">
        <f ca="1">IF($I$1="Yes",OFFSET('Forecast Adjuster'!$A$10,0,N$289)/1000,0)</f>
        <v>0</v>
      </c>
    </row>
    <row r="293" spans="1:16" x14ac:dyDescent="0.2">
      <c r="A293" s="28" t="s">
        <v>1001</v>
      </c>
      <c r="J293" s="36">
        <f ca="1">IF($I$1="Yes",OFFSET('Forecast Adjuster'!$A$11,0,J$289)/1000,0)</f>
        <v>0</v>
      </c>
      <c r="K293" s="36">
        <f ca="1">IF($I$1="Yes",OFFSET('Forecast Adjuster'!$A$11,0,K$289)/1000,0)</f>
        <v>0</v>
      </c>
      <c r="L293" s="36">
        <f ca="1">IF($I$1="Yes",OFFSET('Forecast Adjuster'!$A$11,0,L$289)/1000,0)</f>
        <v>0</v>
      </c>
      <c r="M293" s="36">
        <f ca="1">IF($I$1="Yes",OFFSET('Forecast Adjuster'!$A$11,0,M$289)/1000,0)</f>
        <v>0</v>
      </c>
      <c r="N293" s="36">
        <f ca="1">IF($I$1="Yes",OFFSET('Forecast Adjuster'!$A$11,0,N$289)/1000,0)</f>
        <v>0</v>
      </c>
    </row>
    <row r="294" spans="1:16" x14ac:dyDescent="0.2">
      <c r="A294" s="28" t="s">
        <v>882</v>
      </c>
      <c r="J294" s="36">
        <f ca="1">IF($I$1="Yes",OFFSET('Forecast Adjuster'!$A$12,0,J$289)/1000,0)</f>
        <v>0</v>
      </c>
      <c r="K294" s="36">
        <f ca="1">IF($I$1="Yes",OFFSET('Forecast Adjuster'!$A$12,0,K$289)/1000,0)</f>
        <v>0</v>
      </c>
      <c r="L294" s="36">
        <f ca="1">IF($I$1="Yes",OFFSET('Forecast Adjuster'!$A$12,0,L$289)/1000,0)</f>
        <v>0</v>
      </c>
      <c r="M294" s="36">
        <f ca="1">IF($I$1="Yes",OFFSET('Forecast Adjuster'!$A$12,0,M$289)/1000,0)</f>
        <v>0</v>
      </c>
      <c r="N294" s="36">
        <f ca="1">IF($I$1="Yes",OFFSET('Forecast Adjuster'!$A$12,0,N$289)/1000,0)</f>
        <v>0</v>
      </c>
    </row>
    <row r="295" spans="1:16" x14ac:dyDescent="0.2">
      <c r="A295" s="28" t="s">
        <v>883</v>
      </c>
      <c r="J295" s="36">
        <f ca="1">IF($I$1="Yes",OFFSET('Forecast Adjuster'!$A$13,0,J$289)/1000,0)</f>
        <v>0</v>
      </c>
      <c r="K295" s="36">
        <f ca="1">IF($I$1="Yes",OFFSET('Forecast Adjuster'!$A$13,0,K$289)/1000,0)</f>
        <v>0</v>
      </c>
      <c r="L295" s="36">
        <f ca="1">IF($I$1="Yes",OFFSET('Forecast Adjuster'!$A$13,0,L$289)/1000,0)</f>
        <v>0</v>
      </c>
      <c r="M295" s="36">
        <f ca="1">IF($I$1="Yes",OFFSET('Forecast Adjuster'!$A$13,0,M$289)/1000,0)</f>
        <v>0</v>
      </c>
      <c r="N295" s="36">
        <f ca="1">IF($I$1="Yes",OFFSET('Forecast Adjuster'!$A$13,0,N$289)/1000,0)</f>
        <v>0</v>
      </c>
    </row>
    <row r="296" spans="1:16" x14ac:dyDescent="0.2">
      <c r="A296" s="28" t="s">
        <v>524</v>
      </c>
      <c r="J296" s="36">
        <f>IF($I$1="Yes",J$248*SUM(I$322,J$322)/2,0)</f>
        <v>0</v>
      </c>
      <c r="K296" s="36">
        <f>IF($I$1="Yes",K$248*SUM(J$322,K$322)/2,0)</f>
        <v>0</v>
      </c>
      <c r="L296" s="36">
        <f>IF($I$1="Yes",L$248*SUM(K$322,L$322)/2,0)</f>
        <v>0</v>
      </c>
      <c r="M296" s="36">
        <f>IF($I$1="Yes",M$248*SUM(L$322,M$322)/2,0)</f>
        <v>0</v>
      </c>
      <c r="N296" s="36">
        <f>IF($I$1="Yes",N$248*SUM(M$322,N$322)/2,0)</f>
        <v>0</v>
      </c>
    </row>
    <row r="297" spans="1:16" x14ac:dyDescent="0.2">
      <c r="A297" s="28" t="s">
        <v>1008</v>
      </c>
      <c r="J297" s="36">
        <f ca="1">IF($I$1="Yes",OFFSET('Forecast Adjuster'!$A$14,0,J$289)/1000,0)</f>
        <v>0</v>
      </c>
      <c r="K297" s="36">
        <f ca="1">IF($I$1="Yes",OFFSET('Forecast Adjuster'!$A$14,0,K$289)/1000,0)</f>
        <v>0</v>
      </c>
      <c r="L297" s="36">
        <f ca="1">IF($I$1="Yes",OFFSET('Forecast Adjuster'!$A$14,0,L$289)/1000,0)</f>
        <v>0</v>
      </c>
      <c r="M297" s="36">
        <f ca="1">IF($I$1="Yes",OFFSET('Forecast Adjuster'!$A$14,0,M$289)/1000,0)</f>
        <v>0</v>
      </c>
      <c r="N297" s="36">
        <f ca="1">IF($I$1="Yes",OFFSET('Forecast Adjuster'!$A$14,0,N$289)/1000,0)</f>
        <v>0</v>
      </c>
    </row>
    <row r="298" spans="1:16" x14ac:dyDescent="0.2">
      <c r="A298" s="28" t="s">
        <v>817</v>
      </c>
      <c r="J298" s="36">
        <f>IF($I$1="Yes",J$248*SUM(I$323:I$324,J$323:J$324)/2,0)</f>
        <v>0</v>
      </c>
      <c r="K298" s="36">
        <f>IF($I$1="Yes",K$248*SUM(J$323:J$324,K$323:K$324)/2,0)</f>
        <v>0</v>
      </c>
      <c r="L298" s="36">
        <f>IF($I$1="Yes",L$248*SUM(K$323:K$324,L$323:L$324)/2,0)</f>
        <v>0</v>
      </c>
      <c r="M298" s="36">
        <f>IF($I$1="Yes",M$248*SUM(L$323:L$324,M$323:M$324)/2,0)</f>
        <v>0</v>
      </c>
      <c r="N298" s="36">
        <f>IF($I$1="Yes",N$248*SUM(M$323:M$324,N$323:N$324)/2,0)</f>
        <v>0</v>
      </c>
    </row>
    <row r="299" spans="1:16" s="73" customFormat="1" x14ac:dyDescent="0.2">
      <c r="A299" s="28" t="s">
        <v>729</v>
      </c>
      <c r="B299"/>
      <c r="C299" s="72"/>
      <c r="D299" s="124"/>
      <c r="E299" s="124"/>
      <c r="F299" s="124"/>
      <c r="G299" s="124"/>
      <c r="H299" s="124"/>
      <c r="I299" s="124"/>
      <c r="J299" s="36">
        <f ca="1">IF($I$1="Yes",OFFSET('Forecast Adjuster'!$A$15,0,J$289)/1000,0)</f>
        <v>0</v>
      </c>
      <c r="K299" s="36">
        <f ca="1">IF($I$1="Yes",OFFSET('Forecast Adjuster'!$A$15,0,K$289)/1000,0)</f>
        <v>0</v>
      </c>
      <c r="L299" s="36">
        <f ca="1">IF($I$1="Yes",OFFSET('Forecast Adjuster'!$A$15,0,L$289)/1000,0)</f>
        <v>0</v>
      </c>
      <c r="M299" s="36">
        <f ca="1">IF($I$1="Yes",OFFSET('Forecast Adjuster'!$A$15,0,M$289)/1000,0)</f>
        <v>0</v>
      </c>
      <c r="N299" s="36">
        <f ca="1">IF($I$1="Yes",OFFSET('Forecast Adjuster'!$A$15,0,N$289)/1000,0)</f>
        <v>0</v>
      </c>
    </row>
    <row r="300" spans="1:16" s="73" customFormat="1" x14ac:dyDescent="0.2">
      <c r="A300" s="28" t="s">
        <v>1024</v>
      </c>
      <c r="B300"/>
      <c r="C300" s="72"/>
      <c r="D300" s="124"/>
      <c r="E300" s="124"/>
      <c r="F300" s="124"/>
      <c r="G300" s="124"/>
      <c r="H300" s="124"/>
      <c r="I300" s="124"/>
      <c r="J300" s="36">
        <f ca="1">IF($I$1="Yes",OFFSET('Forecast Adjuster'!$A$17,0,J$289)/1000,0)</f>
        <v>0</v>
      </c>
      <c r="K300" s="36">
        <f ca="1">IF($I$1="Yes",OFFSET('Forecast Adjuster'!$A$17,0,K$289)/1000,0)</f>
        <v>0</v>
      </c>
      <c r="L300" s="36">
        <f ca="1">IF($I$1="Yes",OFFSET('Forecast Adjuster'!$A$17,0,L$289)/1000,0)</f>
        <v>0</v>
      </c>
      <c r="M300" s="36">
        <f ca="1">IF($I$1="Yes",OFFSET('Forecast Adjuster'!$A$17,0,M$289)/1000,0)</f>
        <v>0</v>
      </c>
      <c r="N300" s="36">
        <f ca="1">IF($I$1="Yes",OFFSET('Forecast Adjuster'!$A$17,0,N$289)/1000,0)</f>
        <v>0</v>
      </c>
    </row>
    <row r="301" spans="1:16" s="73" customFormat="1" x14ac:dyDescent="0.2">
      <c r="A301" s="28" t="s">
        <v>1026</v>
      </c>
      <c r="B301"/>
      <c r="C301" s="72"/>
      <c r="D301" s="124"/>
      <c r="E301" s="124"/>
      <c r="F301" s="124"/>
      <c r="G301" s="124"/>
      <c r="H301" s="124"/>
      <c r="I301" s="124"/>
      <c r="J301" s="36">
        <f ca="1">IF($I$1="Yes",OFFSET('Forecast Adjuster'!$A$18,0,J$289)/1000,0)</f>
        <v>0</v>
      </c>
      <c r="K301" s="36">
        <f ca="1">IF($I$1="Yes",OFFSET('Forecast Adjuster'!$A$18,0,K$289)/1000,0)</f>
        <v>0</v>
      </c>
      <c r="L301" s="36">
        <f ca="1">IF($I$1="Yes",OFFSET('Forecast Adjuster'!$A$18,0,L$289)/1000,0)</f>
        <v>0</v>
      </c>
      <c r="M301" s="36">
        <f ca="1">IF($I$1="Yes",OFFSET('Forecast Adjuster'!$A$18,0,M$289)/1000,0)</f>
        <v>0</v>
      </c>
      <c r="N301" s="36">
        <f ca="1">IF($I$1="Yes",OFFSET('Forecast Adjuster'!$A$18,0,N$289)/1000,0)</f>
        <v>0</v>
      </c>
    </row>
    <row r="302" spans="1:16" s="73" customFormat="1" x14ac:dyDescent="0.2">
      <c r="A302" s="28" t="s">
        <v>1025</v>
      </c>
      <c r="B302"/>
      <c r="C302" s="72"/>
      <c r="D302" s="124"/>
      <c r="E302" s="124"/>
      <c r="F302" s="124"/>
      <c r="G302" s="124"/>
      <c r="H302" s="124"/>
      <c r="I302" s="124"/>
      <c r="J302" s="36">
        <f ca="1">IF($I$1="Yes",OFFSET('Forecast Adjuster'!$A$19,0,J$289)/1000,0)</f>
        <v>0</v>
      </c>
      <c r="K302" s="36">
        <f ca="1">IF($I$1="Yes",OFFSET('Forecast Adjuster'!$A$19,0,K$289)/1000,0)</f>
        <v>0</v>
      </c>
      <c r="L302" s="36">
        <f ca="1">IF($I$1="Yes",OFFSET('Forecast Adjuster'!$A$19,0,L$289)/1000,0)</f>
        <v>0</v>
      </c>
      <c r="M302" s="36">
        <f ca="1">IF($I$1="Yes",OFFSET('Forecast Adjuster'!$A$19,0,M$289)/1000,0)</f>
        <v>0</v>
      </c>
      <c r="N302" s="36">
        <f ca="1">IF($I$1="Yes",OFFSET('Forecast Adjuster'!$A$19,0,N$289)/1000,0)</f>
        <v>0</v>
      </c>
    </row>
    <row r="303" spans="1:16" s="73" customFormat="1" x14ac:dyDescent="0.2">
      <c r="A303" s="28" t="s">
        <v>807</v>
      </c>
      <c r="B303"/>
      <c r="C303" s="72"/>
      <c r="D303" s="124"/>
      <c r="E303" s="124"/>
      <c r="F303" s="124"/>
      <c r="G303" s="124"/>
      <c r="H303" s="124"/>
      <c r="I303" s="124"/>
      <c r="J303" s="36">
        <f ca="1">IF($I$1="Yes",OFFSET('Forecast Adjuster'!$A$20,0,J$289)/1000,0)</f>
        <v>0</v>
      </c>
      <c r="K303" s="36">
        <f ca="1">IF($I$1="Yes",OFFSET('Forecast Adjuster'!$A$20,0,K$289)/1000,0)</f>
        <v>0</v>
      </c>
      <c r="L303" s="36">
        <f ca="1">IF($I$1="Yes",OFFSET('Forecast Adjuster'!$A$20,0,L$289)/1000,0)</f>
        <v>0</v>
      </c>
      <c r="M303" s="36">
        <f ca="1">IF($I$1="Yes",OFFSET('Forecast Adjuster'!$A$20,0,M$289)/1000,0)</f>
        <v>0</v>
      </c>
      <c r="N303" s="36">
        <f ca="1">IF($I$1="Yes",OFFSET('Forecast Adjuster'!$A$20,0,N$289)/1000,0)</f>
        <v>0</v>
      </c>
    </row>
    <row r="304" spans="1:16" s="73" customFormat="1" x14ac:dyDescent="0.2">
      <c r="A304" s="28" t="s">
        <v>884</v>
      </c>
      <c r="B304"/>
      <c r="C304" s="72"/>
      <c r="D304" s="124"/>
      <c r="E304" s="124"/>
      <c r="F304" s="124"/>
      <c r="G304" s="124"/>
      <c r="H304" s="124"/>
      <c r="I304" s="124"/>
      <c r="J304" s="36">
        <f ca="1">IF($I$1="Yes",OFFSET('Forecast Adjuster'!$A$21,0,J$289)/1000,0)</f>
        <v>0</v>
      </c>
      <c r="K304" s="36">
        <f ca="1">IF($I$1="Yes",OFFSET('Forecast Adjuster'!$A$21,0,K$289)/1000,0)</f>
        <v>0</v>
      </c>
      <c r="L304" s="36">
        <f ca="1">IF($I$1="Yes",OFFSET('Forecast Adjuster'!$A$21,0,L$289)/1000,0)</f>
        <v>0</v>
      </c>
      <c r="M304" s="36">
        <f ca="1">IF($I$1="Yes",OFFSET('Forecast Adjuster'!$A$21,0,M$289)/1000,0)</f>
        <v>0</v>
      </c>
      <c r="N304" s="36">
        <f ca="1">IF($I$1="Yes",OFFSET('Forecast Adjuster'!$A$21,0,N$289)/1000,0)</f>
        <v>0</v>
      </c>
    </row>
    <row r="305" spans="1:14" s="73" customFormat="1" x14ac:dyDescent="0.2">
      <c r="A305" s="28" t="s">
        <v>888</v>
      </c>
      <c r="B305"/>
      <c r="C305" s="72"/>
      <c r="D305" s="124"/>
      <c r="E305" s="124"/>
      <c r="F305" s="124"/>
      <c r="G305" s="124"/>
      <c r="H305" s="124"/>
      <c r="I305" s="124"/>
      <c r="J305" s="36">
        <f ca="1">IF($I$1="Yes",OFFSET('Forecast Adjuster'!$A$22,0,J$289)/1000,0)</f>
        <v>0</v>
      </c>
      <c r="K305" s="36">
        <f ca="1">IF($I$1="Yes",OFFSET('Forecast Adjuster'!$A$22,0,K$289)/1000,0)</f>
        <v>0</v>
      </c>
      <c r="L305" s="36">
        <f ca="1">IF($I$1="Yes",OFFSET('Forecast Adjuster'!$A$22,0,L$289)/1000,0)</f>
        <v>0</v>
      </c>
      <c r="M305" s="36">
        <f ca="1">IF($I$1="Yes",OFFSET('Forecast Adjuster'!$A$22,0,M$289)/1000,0)</f>
        <v>0</v>
      </c>
      <c r="N305" s="36">
        <f ca="1">IF($I$1="Yes",OFFSET('Forecast Adjuster'!$A$22,0,N$289)/1000,0)</f>
        <v>0</v>
      </c>
    </row>
    <row r="306" spans="1:14" s="73" customFormat="1" x14ac:dyDescent="0.2">
      <c r="A306" s="28" t="s">
        <v>889</v>
      </c>
      <c r="B306"/>
      <c r="C306" s="72"/>
      <c r="D306" s="124"/>
      <c r="E306" s="124"/>
      <c r="F306" s="124"/>
      <c r="G306" s="124"/>
      <c r="H306" s="124"/>
      <c r="I306" s="124"/>
      <c r="J306" s="36">
        <f ca="1">IF($I$1="Yes",OFFSET('Forecast Adjuster'!$A$23,0,J$289)/1000,0)</f>
        <v>0</v>
      </c>
      <c r="K306" s="36">
        <f ca="1">IF($I$1="Yes",OFFSET('Forecast Adjuster'!$A$23,0,K$289)/1000,0)</f>
        <v>0</v>
      </c>
      <c r="L306" s="36">
        <f ca="1">IF($I$1="Yes",OFFSET('Forecast Adjuster'!$A$23,0,L$289)/1000,0)</f>
        <v>0</v>
      </c>
      <c r="M306" s="36">
        <f ca="1">IF($I$1="Yes",OFFSET('Forecast Adjuster'!$A$23,0,M$289)/1000,0)</f>
        <v>0</v>
      </c>
      <c r="N306" s="36">
        <f ca="1">IF($I$1="Yes",OFFSET('Forecast Adjuster'!$A$23,0,N$289)/1000,0)</f>
        <v>0</v>
      </c>
    </row>
    <row r="307" spans="1:14" s="73" customFormat="1" x14ac:dyDescent="0.2">
      <c r="A307" s="28" t="s">
        <v>892</v>
      </c>
      <c r="B307"/>
      <c r="C307" s="72"/>
      <c r="D307" s="124"/>
      <c r="E307" s="124"/>
      <c r="F307" s="124"/>
      <c r="G307" s="124"/>
      <c r="H307" s="124"/>
      <c r="I307" s="124"/>
      <c r="J307" s="36">
        <f ca="1">IF($I$1="Yes",OFFSET('Forecast Adjuster'!$A$24,0,J$289)/1000,0)</f>
        <v>0</v>
      </c>
      <c r="K307" s="36">
        <f ca="1">IF($I$1="Yes",OFFSET('Forecast Adjuster'!$A$24,0,K$289)/1000,0)</f>
        <v>0</v>
      </c>
      <c r="L307" s="36">
        <f ca="1">IF($I$1="Yes",OFFSET('Forecast Adjuster'!$A$24,0,L$289)/1000,0)</f>
        <v>0</v>
      </c>
      <c r="M307" s="36">
        <f ca="1">IF($I$1="Yes",OFFSET('Forecast Adjuster'!$A$24,0,M$289)/1000,0)</f>
        <v>0</v>
      </c>
      <c r="N307" s="36">
        <f ca="1">IF($I$1="Yes",OFFSET('Forecast Adjuster'!$A$24,0,N$289)/1000,0)</f>
        <v>0</v>
      </c>
    </row>
    <row r="308" spans="1:14" s="73" customFormat="1" x14ac:dyDescent="0.2">
      <c r="A308" s="28" t="s">
        <v>964</v>
      </c>
      <c r="B308"/>
      <c r="C308" s="72"/>
      <c r="D308" s="124"/>
      <c r="E308" s="124"/>
      <c r="F308" s="124"/>
      <c r="G308" s="124"/>
      <c r="H308" s="124"/>
      <c r="I308" s="124"/>
      <c r="J308" s="36">
        <f ca="1">IF($I$1="Yes",OFFSET('Forecast Adjuster'!$A$25,0,J$289)/1000,0)</f>
        <v>0</v>
      </c>
      <c r="K308" s="36">
        <f ca="1">IF($I$1="Yes",OFFSET('Forecast Adjuster'!$A$25,0,K$289)/1000,0)</f>
        <v>0</v>
      </c>
      <c r="L308" s="36">
        <f ca="1">IF($I$1="Yes",OFFSET('Forecast Adjuster'!$A$25,0,L$289)/1000,0)</f>
        <v>0</v>
      </c>
      <c r="M308" s="36">
        <f ca="1">IF($I$1="Yes",OFFSET('Forecast Adjuster'!$A$25,0,M$289)/1000,0)</f>
        <v>0</v>
      </c>
      <c r="N308" s="36">
        <f ca="1">IF($I$1="Yes",OFFSET('Forecast Adjuster'!$A$25,0,N$289)/1000,0)</f>
        <v>0</v>
      </c>
    </row>
    <row r="309" spans="1:14" s="73" customFormat="1" x14ac:dyDescent="0.2">
      <c r="A309" s="28" t="s">
        <v>974</v>
      </c>
      <c r="B309"/>
      <c r="C309" s="72"/>
      <c r="D309" s="124"/>
      <c r="E309" s="124"/>
      <c r="F309" s="124"/>
      <c r="G309" s="124"/>
      <c r="H309" s="124"/>
      <c r="I309" s="124"/>
      <c r="J309" s="36">
        <f ca="1">IF($I$1="Yes",OFFSET('Forecast Adjuster'!$A$26,0,J$289)/1000,0)</f>
        <v>0</v>
      </c>
      <c r="K309" s="36">
        <f ca="1">IF($I$1="Yes",OFFSET('Forecast Adjuster'!$A$26,0,K$289)/1000,0)</f>
        <v>0</v>
      </c>
      <c r="L309" s="36">
        <f ca="1">IF($I$1="Yes",OFFSET('Forecast Adjuster'!$A$26,0,L$289)/1000,0)</f>
        <v>0</v>
      </c>
      <c r="M309" s="36">
        <f ca="1">IF($I$1="Yes",OFFSET('Forecast Adjuster'!$A$26,0,M$289)/1000,0)</f>
        <v>0</v>
      </c>
      <c r="N309" s="36">
        <f ca="1">IF($I$1="Yes",OFFSET('Forecast Adjuster'!$A$26,0,N$289)/1000,0)</f>
        <v>0</v>
      </c>
    </row>
    <row r="310" spans="1:14" s="73" customFormat="1" x14ac:dyDescent="0.2">
      <c r="A310" s="28" t="s">
        <v>995</v>
      </c>
      <c r="B310"/>
      <c r="C310" s="72"/>
      <c r="D310" s="124"/>
      <c r="E310" s="124"/>
      <c r="F310" s="124"/>
      <c r="G310" s="124"/>
      <c r="H310" s="124"/>
      <c r="I310" s="124"/>
      <c r="J310" s="36">
        <f ca="1">IF($I$1="Yes",OFFSET('Forecast Adjuster'!$A$27,0,J$289)/1000,0)</f>
        <v>0</v>
      </c>
      <c r="K310" s="36">
        <f ca="1">IF($I$1="Yes",OFFSET('Forecast Adjuster'!$A$27,0,K$289)/1000,0)</f>
        <v>0</v>
      </c>
      <c r="L310" s="36">
        <f ca="1">IF($I$1="Yes",OFFSET('Forecast Adjuster'!$A$27,0,L$289)/1000,0)</f>
        <v>0</v>
      </c>
      <c r="M310" s="36">
        <f ca="1">IF($I$1="Yes",OFFSET('Forecast Adjuster'!$A$27,0,M$289)/1000,0)</f>
        <v>0</v>
      </c>
      <c r="N310" s="36">
        <f ca="1">IF($I$1="Yes",OFFSET('Forecast Adjuster'!$A$27,0,N$289)/1000,0)</f>
        <v>0</v>
      </c>
    </row>
    <row r="311" spans="1:14" s="73" customFormat="1" x14ac:dyDescent="0.2">
      <c r="A311" s="28" t="s">
        <v>730</v>
      </c>
      <c r="B311"/>
      <c r="C311" s="72"/>
      <c r="D311" s="124"/>
      <c r="E311" s="124"/>
      <c r="F311" s="124"/>
      <c r="G311" s="124"/>
      <c r="H311" s="124"/>
      <c r="I311" s="124"/>
      <c r="J311" s="36">
        <f ca="1">IF($I$1="Yes",OFFSET('Forecast Adjuster'!$A$28,0,J$289)/1000,0)</f>
        <v>0</v>
      </c>
      <c r="K311" s="36">
        <f ca="1">IF($I$1="Yes",OFFSET('Forecast Adjuster'!$A$28,0,K$289)/1000,0)</f>
        <v>0</v>
      </c>
      <c r="L311" s="36">
        <f ca="1">IF($I$1="Yes",OFFSET('Forecast Adjuster'!$A$28,0,L$289)/1000,0)</f>
        <v>0</v>
      </c>
      <c r="M311" s="36">
        <f ca="1">IF($I$1="Yes",OFFSET('Forecast Adjuster'!$A$28,0,M$289)/1000,0)</f>
        <v>0</v>
      </c>
      <c r="N311" s="36">
        <f ca="1">IF($I$1="Yes",OFFSET('Forecast Adjuster'!$A$28,0,N$289)/1000,0)</f>
        <v>0</v>
      </c>
    </row>
    <row r="312" spans="1:14" s="73" customFormat="1" x14ac:dyDescent="0.2">
      <c r="A312" s="28" t="s">
        <v>819</v>
      </c>
      <c r="B312"/>
      <c r="C312" s="72"/>
      <c r="D312" s="124"/>
      <c r="E312" s="124"/>
      <c r="F312" s="124"/>
      <c r="G312" s="124"/>
      <c r="H312" s="124"/>
      <c r="I312" s="124"/>
      <c r="J312" s="36">
        <f ca="1">IF($I$1="Yes",OFFSET('Forecast Adjuster'!$A$29,0,J$289)/1000,0)</f>
        <v>0</v>
      </c>
      <c r="K312" s="36">
        <f ca="1">IF($I$1="Yes",OFFSET('Forecast Adjuster'!$A$29,0,K$289)/1000,0)</f>
        <v>0</v>
      </c>
      <c r="L312" s="36">
        <f ca="1">IF($I$1="Yes",OFFSET('Forecast Adjuster'!$A$29,0,L$289)/1000,0)</f>
        <v>0</v>
      </c>
      <c r="M312" s="36">
        <f ca="1">IF($I$1="Yes",OFFSET('Forecast Adjuster'!$A$29,0,M$289)/1000,0)</f>
        <v>0</v>
      </c>
      <c r="N312" s="36">
        <f ca="1">IF($I$1="Yes",OFFSET('Forecast Adjuster'!$A$29,0,N$289)/1000,0)</f>
        <v>0</v>
      </c>
    </row>
    <row r="313" spans="1:14" s="73" customFormat="1" x14ac:dyDescent="0.2">
      <c r="A313" s="28" t="s">
        <v>970</v>
      </c>
      <c r="B313" s="50"/>
      <c r="C313" s="72"/>
      <c r="D313" s="124"/>
      <c r="E313" s="124"/>
      <c r="F313" s="124"/>
      <c r="G313" s="124"/>
      <c r="H313" s="124"/>
      <c r="I313" s="124"/>
      <c r="J313" s="36">
        <f ca="1">IF($I$1="Yes",OFFSET('Forecast Adjuster'!$A$30,0,J$289)/1000,0)</f>
        <v>0</v>
      </c>
      <c r="K313" s="36">
        <f ca="1">IF($I$1="Yes",OFFSET('Forecast Adjuster'!$A$30,0,K$289)/1000,0)</f>
        <v>0</v>
      </c>
      <c r="L313" s="36">
        <f ca="1">IF($I$1="Yes",OFFSET('Forecast Adjuster'!$A$30,0,L$289)/1000,0)</f>
        <v>0</v>
      </c>
      <c r="M313" s="36">
        <f ca="1">IF($I$1="Yes",OFFSET('Forecast Adjuster'!$A$30,0,M$289)/1000,0)</f>
        <v>0</v>
      </c>
      <c r="N313" s="36">
        <f ca="1">IF($I$1="Yes",OFFSET('Forecast Adjuster'!$A$30,0,N$289)/1000,0)</f>
        <v>0</v>
      </c>
    </row>
    <row r="314" spans="1:14" s="73" customFormat="1" x14ac:dyDescent="0.2">
      <c r="A314" s="28" t="s">
        <v>971</v>
      </c>
      <c r="B314" s="50"/>
      <c r="C314" s="72"/>
      <c r="D314" s="124"/>
      <c r="E314" s="124"/>
      <c r="F314" s="124"/>
      <c r="G314" s="124"/>
      <c r="H314" s="124"/>
      <c r="I314" s="124"/>
      <c r="J314" s="36">
        <f ca="1">IF($I$1="Yes",OFFSET('Forecast Adjuster'!$A$31,0,J$289)/1000,0)</f>
        <v>0</v>
      </c>
      <c r="K314" s="36">
        <f ca="1">IF($I$1="Yes",OFFSET('Forecast Adjuster'!$A$31,0,K$289)/1000,0)</f>
        <v>0</v>
      </c>
      <c r="L314" s="36">
        <f ca="1">IF($I$1="Yes",OFFSET('Forecast Adjuster'!$A$31,0,L$289)/1000,0)</f>
        <v>0</v>
      </c>
      <c r="M314" s="36">
        <f ca="1">IF($I$1="Yes",OFFSET('Forecast Adjuster'!$A$31,0,M$289)/1000,0)</f>
        <v>0</v>
      </c>
      <c r="N314" s="36">
        <f ca="1">IF($I$1="Yes",OFFSET('Forecast Adjuster'!$A$31,0,N$289)/1000,0)</f>
        <v>0</v>
      </c>
    </row>
    <row r="315" spans="1:14" s="73" customFormat="1" x14ac:dyDescent="0.2">
      <c r="A315" s="28" t="s">
        <v>806</v>
      </c>
      <c r="B315"/>
      <c r="C315" s="72"/>
      <c r="D315" s="124"/>
      <c r="E315" s="124"/>
      <c r="F315" s="124"/>
      <c r="G315" s="124"/>
      <c r="H315" s="124"/>
      <c r="I315" s="124"/>
      <c r="J315" s="36">
        <f ca="1">IF($I$1="Yes",OFFSET('Forecast Adjuster'!$A$32,0,J$289)/1000,0)</f>
        <v>0</v>
      </c>
      <c r="K315" s="36">
        <f ca="1">IF($I$1="Yes",OFFSET('Forecast Adjuster'!$A$32,0,K$289)/1000,0)</f>
        <v>0</v>
      </c>
      <c r="L315" s="36">
        <f ca="1">IF($I$1="Yes",OFFSET('Forecast Adjuster'!$A$32,0,L$289)/1000,0)</f>
        <v>0</v>
      </c>
      <c r="M315" s="36">
        <f ca="1">IF($I$1="Yes",OFFSET('Forecast Adjuster'!$A$32,0,M$289)/1000,0)</f>
        <v>0</v>
      </c>
      <c r="N315" s="36">
        <f ca="1">IF($I$1="Yes",OFFSET('Forecast Adjuster'!$A$32,0,N$289)/1000,0)</f>
        <v>0</v>
      </c>
    </row>
    <row r="316" spans="1:14" s="73" customFormat="1" x14ac:dyDescent="0.2">
      <c r="A316" s="28" t="s">
        <v>814</v>
      </c>
      <c r="B316"/>
      <c r="C316" s="72"/>
      <c r="D316" s="124"/>
      <c r="E316" s="124"/>
      <c r="F316" s="124"/>
      <c r="G316" s="124"/>
      <c r="H316" s="124"/>
      <c r="I316" s="124"/>
      <c r="J316" s="36">
        <f ca="1">IF($I$1="Yes",OFFSET('Forecast Adjuster'!$A$33,0,J$289)/1000,0)</f>
        <v>0</v>
      </c>
      <c r="K316" s="36">
        <f ca="1">IF($I$1="Yes",OFFSET('Forecast Adjuster'!$A$33,0,K$289)/1000,0)</f>
        <v>0</v>
      </c>
      <c r="L316" s="36">
        <f ca="1">IF($I$1="Yes",OFFSET('Forecast Adjuster'!$A$33,0,L$289)/1000,0)</f>
        <v>0</v>
      </c>
      <c r="M316" s="36">
        <f ca="1">IF($I$1="Yes",OFFSET('Forecast Adjuster'!$A$33,0,M$289)/1000,0)</f>
        <v>0</v>
      </c>
      <c r="N316" s="36">
        <f ca="1">IF($I$1="Yes",OFFSET('Forecast Adjuster'!$A$33,0,N$289)/1000,0)</f>
        <v>0</v>
      </c>
    </row>
    <row r="317" spans="1:14" s="73" customFormat="1" x14ac:dyDescent="0.2">
      <c r="A317" s="28" t="s">
        <v>525</v>
      </c>
      <c r="B317"/>
      <c r="C317" s="72"/>
      <c r="D317" s="124"/>
      <c r="E317" s="124"/>
      <c r="F317" s="124"/>
      <c r="G317" s="124"/>
      <c r="H317" s="124"/>
      <c r="I317" s="124"/>
      <c r="J317" s="36">
        <f ca="1">IF($I$1="Yes",SUM(OFFSET('Forecast Adjuster'!$A$35,0,J$289)/1000,I$317),0)</f>
        <v>0</v>
      </c>
      <c r="K317" s="36">
        <f ca="1">IF($I$1="Yes",SUM(OFFSET('Forecast Adjuster'!$A$35,0,K$289)/1000,J$317),0)</f>
        <v>0</v>
      </c>
      <c r="L317" s="36">
        <f ca="1">IF($I$1="Yes",SUM(OFFSET('Forecast Adjuster'!$A$35,0,L$289)/1000,K$317),0)</f>
        <v>0</v>
      </c>
      <c r="M317" s="36">
        <f ca="1">IF($I$1="Yes",SUM(OFFSET('Forecast Adjuster'!$A$35,0,M$289)/1000,L$317),0)</f>
        <v>0</v>
      </c>
      <c r="N317" s="36">
        <f ca="1">IF($I$1="Yes",SUM(OFFSET('Forecast Adjuster'!$A$35,0,N$289)/1000,M$317),0)</f>
        <v>0</v>
      </c>
    </row>
    <row r="318" spans="1:14" s="73" customFormat="1" x14ac:dyDescent="0.2">
      <c r="A318" s="28" t="s">
        <v>768</v>
      </c>
      <c r="B318"/>
      <c r="C318" s="72"/>
      <c r="D318" s="124"/>
      <c r="E318" s="124"/>
      <c r="F318" s="124"/>
      <c r="G318" s="124"/>
      <c r="H318" s="124"/>
      <c r="I318" s="124"/>
      <c r="J318" s="36">
        <f ca="1">J$248*J$328/2</f>
        <v>0</v>
      </c>
      <c r="K318" s="36">
        <f ca="1">K$248*K$328/2</f>
        <v>0</v>
      </c>
      <c r="L318" s="36">
        <f ca="1">L$248*L$328/2</f>
        <v>0</v>
      </c>
      <c r="M318" s="36">
        <f ca="1">M$248*M$328/2</f>
        <v>0</v>
      </c>
      <c r="N318" s="36">
        <f ca="1">N$248*N$328/2</f>
        <v>0</v>
      </c>
    </row>
    <row r="319" spans="1:14" s="73" customFormat="1" x14ac:dyDescent="0.2">
      <c r="A319" s="28" t="s">
        <v>769</v>
      </c>
      <c r="B319"/>
      <c r="C319" s="72"/>
      <c r="D319" s="124"/>
      <c r="E319" s="124"/>
      <c r="F319" s="124"/>
      <c r="G319" s="124"/>
      <c r="H319" s="124"/>
      <c r="I319" s="124"/>
      <c r="J319" s="36">
        <f ca="1">J$248*J$318/2</f>
        <v>0</v>
      </c>
      <c r="K319" s="36">
        <f ca="1">K$248*K$318/2</f>
        <v>0</v>
      </c>
      <c r="L319" s="36">
        <f ca="1">L$248*L$318/2</f>
        <v>0</v>
      </c>
      <c r="M319" s="36">
        <f ca="1">M$248*M$318/2</f>
        <v>0</v>
      </c>
      <c r="N319" s="36">
        <f ca="1">N$248*N$318/2</f>
        <v>0</v>
      </c>
    </row>
    <row r="320" spans="1:14" s="73" customFormat="1" x14ac:dyDescent="0.2">
      <c r="A320" s="28" t="s">
        <v>770</v>
      </c>
      <c r="B320"/>
      <c r="C320" s="72"/>
      <c r="D320" s="124"/>
      <c r="E320" s="124"/>
      <c r="F320" s="124"/>
      <c r="G320" s="124"/>
      <c r="H320" s="124"/>
      <c r="I320" s="124"/>
      <c r="J320" s="36">
        <f ca="1">J$248*SUM($E$330:I$330)</f>
        <v>0</v>
      </c>
      <c r="K320" s="36">
        <f ca="1">K$248*SUM($E$330:J$330)</f>
        <v>0</v>
      </c>
      <c r="L320" s="36">
        <f ca="1">L$248*SUM($E$330:K$330)</f>
        <v>0</v>
      </c>
      <c r="M320" s="36">
        <f ca="1">M$248*SUM($E$330:L$330)</f>
        <v>0</v>
      </c>
      <c r="N320" s="36">
        <f ca="1">N$248*SUM($E$330:M$330)</f>
        <v>0</v>
      </c>
    </row>
    <row r="321" spans="1:14" s="73" customFormat="1" x14ac:dyDescent="0.2">
      <c r="A321" s="197" t="s">
        <v>720</v>
      </c>
      <c r="B321"/>
      <c r="C321" s="72"/>
      <c r="D321" s="124"/>
      <c r="E321" s="124"/>
      <c r="F321" s="124"/>
      <c r="G321" s="124"/>
      <c r="H321" s="124"/>
      <c r="I321" s="124"/>
      <c r="J321" s="42">
        <f ca="1">SUM(J$291:J$296)-SUM(J$299:J$320)</f>
        <v>0</v>
      </c>
      <c r="K321" s="42">
        <f ca="1">SUM(K$291:K$296)-SUM(K$299:K$320)</f>
        <v>0</v>
      </c>
      <c r="L321" s="42">
        <f ca="1">SUM(L$291:L$296)-SUM(L$299:L$320)</f>
        <v>0</v>
      </c>
      <c r="M321" s="42">
        <f ca="1">SUM(M$291:M$296)-SUM(M$299:M$320)</f>
        <v>0</v>
      </c>
      <c r="N321" s="42">
        <f ca="1">SUM(N$291:N$296)-SUM(N$299:N$320)</f>
        <v>0</v>
      </c>
    </row>
    <row r="322" spans="1:14" s="73" customFormat="1" x14ac:dyDescent="0.2">
      <c r="A322" s="28" t="s">
        <v>527</v>
      </c>
      <c r="B322"/>
      <c r="C322" s="72"/>
      <c r="D322" s="124"/>
      <c r="E322" s="124"/>
      <c r="F322" s="124"/>
      <c r="G322" s="124"/>
      <c r="H322" s="124"/>
      <c r="I322" s="124"/>
      <c r="J322" s="36">
        <f ca="1">IF($I$1="Yes",SUM(OFFSET('Forecast Adjuster'!$A$37,0,J$289)/1000,I$322),0)</f>
        <v>0</v>
      </c>
      <c r="K322" s="36">
        <f ca="1">IF($I$1="Yes",SUM(OFFSET('Forecast Adjuster'!$A$37,0,K$289)/1000,J$322),0)</f>
        <v>0</v>
      </c>
      <c r="L322" s="36">
        <f ca="1">IF($I$1="Yes",SUM(OFFSET('Forecast Adjuster'!$A$37,0,L$289)/1000,K$322),0)</f>
        <v>0</v>
      </c>
      <c r="M322" s="36">
        <f ca="1">IF($I$1="Yes",SUM(OFFSET('Forecast Adjuster'!$A$37,0,M$289)/1000,L$322),0)</f>
        <v>0</v>
      </c>
      <c r="N322" s="36">
        <f ca="1">IF($I$1="Yes",SUM(OFFSET('Forecast Adjuster'!$A$37,0,N$289)/1000,M$322),0)</f>
        <v>0</v>
      </c>
    </row>
    <row r="323" spans="1:14" s="73" customFormat="1" x14ac:dyDescent="0.2">
      <c r="A323" s="28" t="s">
        <v>1015</v>
      </c>
      <c r="B323"/>
      <c r="C323" s="72"/>
      <c r="D323" s="124"/>
      <c r="E323" s="124"/>
      <c r="F323" s="124"/>
      <c r="G323" s="124"/>
      <c r="H323" s="124"/>
      <c r="I323" s="124"/>
      <c r="J323" s="36">
        <f ca="1">IF($I$1="Yes",SUM(OFFSET('Forecast Adjuster'!$A$38,0,J$289)/1000,I$323),0)</f>
        <v>0</v>
      </c>
      <c r="K323" s="36">
        <f ca="1">IF($I$1="Yes",SUM(OFFSET('Forecast Adjuster'!$A$38,0,K$289)/1000,J$323),0)</f>
        <v>0</v>
      </c>
      <c r="L323" s="36">
        <f ca="1">IF($I$1="Yes",SUM(OFFSET('Forecast Adjuster'!$A$38,0,L$289)/1000,K$323),0)</f>
        <v>0</v>
      </c>
      <c r="M323" s="36">
        <f ca="1">IF($I$1="Yes",SUM(OFFSET('Forecast Adjuster'!$A$38,0,M$289)/1000,L$323),0)</f>
        <v>0</v>
      </c>
      <c r="N323" s="36">
        <f ca="1">IF($I$1="Yes",SUM(OFFSET('Forecast Adjuster'!$A$38,0,N$289)/1000,M$323),0)</f>
        <v>0</v>
      </c>
    </row>
    <row r="324" spans="1:14" s="73" customFormat="1" x14ac:dyDescent="0.2">
      <c r="A324" s="28" t="s">
        <v>1016</v>
      </c>
      <c r="B324"/>
      <c r="C324" s="72"/>
      <c r="D324" s="124"/>
      <c r="E324" s="124"/>
      <c r="F324" s="124"/>
      <c r="G324" s="124"/>
      <c r="H324" s="124"/>
      <c r="I324" s="124"/>
      <c r="J324" s="36">
        <f ca="1">IF($I$1="Yes",SUM(OFFSET('Forecast Adjuster'!$A$39,0,J$289)/1000,I$323),0)</f>
        <v>0</v>
      </c>
      <c r="K324" s="36">
        <f ca="1">IF($I$1="Yes",SUM(OFFSET('Forecast Adjuster'!$A$39,0,K$289)/1000,J$323),0)</f>
        <v>0</v>
      </c>
      <c r="L324" s="36">
        <f ca="1">IF($I$1="Yes",SUM(OFFSET('Forecast Adjuster'!$A$39,0,L$289)/1000,K$323),0)</f>
        <v>0</v>
      </c>
      <c r="M324" s="36">
        <f ca="1">IF($I$1="Yes",SUM(OFFSET('Forecast Adjuster'!$A$39,0,M$289)/1000,L$323),0)</f>
        <v>0</v>
      </c>
      <c r="N324" s="36">
        <f ca="1">IF($I$1="Yes",SUM(OFFSET('Forecast Adjuster'!$A$39,0,N$289)/1000,M$323),0)</f>
        <v>0</v>
      </c>
    </row>
    <row r="325" spans="1:14" s="73" customFormat="1" x14ac:dyDescent="0.2">
      <c r="A325" s="28" t="s">
        <v>528</v>
      </c>
      <c r="B325"/>
      <c r="C325" s="72"/>
      <c r="D325" s="124"/>
      <c r="E325" s="124"/>
      <c r="F325" s="124"/>
      <c r="G325" s="124"/>
      <c r="H325" s="124"/>
      <c r="I325" s="124"/>
      <c r="J325" s="36">
        <f ca="1">IF($I$1="Yes",SUM(OFFSET('Forecast Adjuster'!$A$41,0,J$289)/1000,I$325),0)</f>
        <v>0</v>
      </c>
      <c r="K325" s="36">
        <f ca="1">IF($I$1="Yes",SUM(OFFSET('Forecast Adjuster'!$A$41,0,K$289)/1000,J$325),0)</f>
        <v>0</v>
      </c>
      <c r="L325" s="36">
        <f ca="1">IF($I$1="Yes",SUM(OFFSET('Forecast Adjuster'!$A$41,0,L$289)/1000,K$325),0)</f>
        <v>0</v>
      </c>
      <c r="M325" s="36">
        <f ca="1">IF($I$1="Yes",SUM(OFFSET('Forecast Adjuster'!$A$41,0,M$289)/1000,L$325),0)</f>
        <v>0</v>
      </c>
      <c r="N325" s="36">
        <f ca="1">IF($I$1="Yes",SUM(OFFSET('Forecast Adjuster'!$A$41,0,N$289)/1000,M$325),0)</f>
        <v>0</v>
      </c>
    </row>
    <row r="326" spans="1:14" s="73" customFormat="1" x14ac:dyDescent="0.2">
      <c r="A326" s="28" t="s">
        <v>529</v>
      </c>
      <c r="B326"/>
      <c r="C326" s="72"/>
      <c r="D326" s="124"/>
      <c r="E326" s="124"/>
      <c r="F326" s="124"/>
      <c r="G326" s="124"/>
      <c r="H326" s="124"/>
      <c r="I326" s="124"/>
      <c r="J326" s="36">
        <f ca="1">IF($I$1="Yes",SUM(OFFSET('Forecast Adjuster'!$A$42,0,J$289)/1000,I$326),0)</f>
        <v>0</v>
      </c>
      <c r="K326" s="36">
        <f ca="1">IF($I$1="Yes",SUM(OFFSET('Forecast Adjuster'!$A$42,0,K$289)/1000,J$326),0)</f>
        <v>0</v>
      </c>
      <c r="L326" s="36">
        <f ca="1">IF($I$1="Yes",SUM(OFFSET('Forecast Adjuster'!$A$42,0,L$289)/1000,K$326),0)</f>
        <v>0</v>
      </c>
      <c r="M326" s="36">
        <f ca="1">IF($I$1="Yes",SUM(OFFSET('Forecast Adjuster'!$A$42,0,M$289)/1000,L$326),0)</f>
        <v>0</v>
      </c>
      <c r="N326" s="36">
        <f ca="1">IF($I$1="Yes",SUM(OFFSET('Forecast Adjuster'!$A$42,0,N$289)/1000,M$326),0)</f>
        <v>0</v>
      </c>
    </row>
    <row r="327" spans="1:14" s="73" customFormat="1" x14ac:dyDescent="0.2">
      <c r="A327" s="197" t="s">
        <v>0</v>
      </c>
      <c r="B327"/>
      <c r="C327" s="72"/>
      <c r="D327" s="124"/>
      <c r="E327" s="124"/>
      <c r="F327" s="124"/>
      <c r="G327" s="124"/>
      <c r="H327" s="124"/>
      <c r="I327" s="124"/>
      <c r="J327" s="42">
        <f ca="1">SUM(J$322,J$325)-SUM(J$326,J$331)</f>
        <v>0</v>
      </c>
      <c r="K327" s="42">
        <f ca="1">SUM(K$322,K$325)-SUM(K$326,K$331)</f>
        <v>0</v>
      </c>
      <c r="L327" s="42">
        <f ca="1">SUM(L$322,L$325)-SUM(L$326,L$331)</f>
        <v>0</v>
      </c>
      <c r="M327" s="42">
        <f ca="1">SUM(M$322,M$325)-SUM(M$326,M$331)</f>
        <v>0</v>
      </c>
      <c r="N327" s="42">
        <f ca="1">SUM(N$322,N$325)-SUM(N$326,N$331)</f>
        <v>0</v>
      </c>
    </row>
    <row r="328" spans="1:14" s="73" customFormat="1" x14ac:dyDescent="0.2">
      <c r="A328" s="28" t="s">
        <v>721</v>
      </c>
      <c r="B328"/>
      <c r="C328" s="72"/>
      <c r="D328" s="124"/>
      <c r="E328" s="124"/>
      <c r="F328" s="124"/>
      <c r="G328" s="124"/>
      <c r="H328" s="124"/>
      <c r="I328" s="124"/>
      <c r="J328" s="233">
        <f ca="1">SUM(J$322,J$323,J$325)-SUM(I$322,I$323,I$325)-(J$326-I$326)-(SUM(J$291:J$296)-SUM(J$299:J$317))</f>
        <v>0</v>
      </c>
      <c r="K328" s="233">
        <f ca="1">SUM(K$322,K$323,K$325)-SUM(J$322,J$323,J$325)-(K$326-J$326)-(SUM(K$291:K$296)-SUM(K$299:K$317))</f>
        <v>0</v>
      </c>
      <c r="L328" s="233">
        <f ca="1">SUM(L$322,L$323,L$325)-SUM(K$322,K$323,K$325)-(L$326-K$326)-(SUM(L$291:L$296)-SUM(L$299:L$317))</f>
        <v>0</v>
      </c>
      <c r="M328" s="233">
        <f ca="1">SUM(M$322,M$323,M$325)-SUM(L$322,L$323,L$325)-(M$326-L$326)-(SUM(M$291:M$296)-SUM(M$299:M$317))</f>
        <v>0</v>
      </c>
      <c r="N328" s="233">
        <f ca="1">SUM(N$322,N$323,N$325)-SUM(M$322,M$323,M$325)-(N$326-M$326)-(SUM(N$291:N$296)-SUM(N$299:N$317))</f>
        <v>0</v>
      </c>
    </row>
    <row r="329" spans="1:14" s="73" customFormat="1" x14ac:dyDescent="0.2">
      <c r="A329" s="28" t="s">
        <v>919</v>
      </c>
      <c r="B329"/>
      <c r="C329" s="72"/>
      <c r="D329" s="124"/>
      <c r="E329" s="124"/>
      <c r="F329" s="124"/>
      <c r="G329" s="124"/>
      <c r="H329" s="124"/>
      <c r="I329" s="124"/>
      <c r="J329" s="36">
        <f ca="1">IF($I$1="Yes",SUM(OFFSET('Forecast Adjuster'!$A$43,0,J$289)/1000),0)</f>
        <v>0</v>
      </c>
      <c r="K329" s="36">
        <f ca="1">IF($I$1="Yes",SUM(OFFSET('Forecast Adjuster'!$A$43,0,K$289)/1000),0)</f>
        <v>0</v>
      </c>
      <c r="L329" s="36">
        <f ca="1">IF($I$1="Yes",SUM(OFFSET('Forecast Adjuster'!$A$43,0,L$289)/1000),0)</f>
        <v>0</v>
      </c>
      <c r="M329" s="36">
        <f ca="1">IF($I$1="Yes",SUM(OFFSET('Forecast Adjuster'!$A$43,0,M$289)/1000),0)</f>
        <v>0</v>
      </c>
      <c r="N329" s="36">
        <f ca="1">IF($I$1="Yes",SUM(OFFSET('Forecast Adjuster'!$A$43,0,N$289)/1000),0)</f>
        <v>0</v>
      </c>
    </row>
    <row r="330" spans="1:14" s="73" customFormat="1" x14ac:dyDescent="0.2">
      <c r="A330" s="28" t="s">
        <v>526</v>
      </c>
      <c r="B330"/>
      <c r="C330" s="72"/>
      <c r="D330" s="124"/>
      <c r="E330" s="124"/>
      <c r="F330" s="124"/>
      <c r="G330" s="124"/>
      <c r="H330" s="124"/>
      <c r="I330" s="124"/>
      <c r="J330" s="233">
        <f ca="1">SUM(J$328,J$329,J$318:J$320)</f>
        <v>0</v>
      </c>
      <c r="K330" s="233">
        <f ca="1">SUM(K$328,K$329,K$318:K$320)</f>
        <v>0</v>
      </c>
      <c r="L330" s="233">
        <f ca="1">SUM(L$328,L$329,L$318:L$320)</f>
        <v>0</v>
      </c>
      <c r="M330" s="233">
        <f ca="1">SUM(M$328,M$329,M$318:M$320)</f>
        <v>0</v>
      </c>
      <c r="N330" s="233">
        <f ca="1">SUM(N$328,N$329,N$318:N$320)</f>
        <v>0</v>
      </c>
    </row>
    <row r="331" spans="1:14" s="73" customFormat="1" x14ac:dyDescent="0.2">
      <c r="A331" s="197" t="s">
        <v>722</v>
      </c>
      <c r="B331"/>
      <c r="C331" s="72"/>
      <c r="D331" s="124"/>
      <c r="E331" s="124"/>
      <c r="F331" s="124"/>
      <c r="G331" s="124"/>
      <c r="H331" s="124"/>
      <c r="I331" s="124"/>
      <c r="J331" s="42">
        <f ca="1">SUM($E$330:J$330)</f>
        <v>0</v>
      </c>
      <c r="K331" s="42">
        <f ca="1">SUM($E$330:K$330)</f>
        <v>0</v>
      </c>
      <c r="L331" s="42">
        <f ca="1">SUM($E$330:L$330)</f>
        <v>0</v>
      </c>
      <c r="M331" s="42">
        <f ca="1">SUM($E$330:M$330)</f>
        <v>0</v>
      </c>
      <c r="N331" s="42">
        <f ca="1">SUM($E$330:N$330)</f>
        <v>0</v>
      </c>
    </row>
    <row r="332" spans="1:14" s="73" customFormat="1" x14ac:dyDescent="0.2">
      <c r="A332" s="197" t="s">
        <v>739</v>
      </c>
      <c r="B332"/>
      <c r="C332" s="72"/>
      <c r="D332" s="124"/>
      <c r="E332" s="124"/>
      <c r="F332" s="124"/>
      <c r="G332" s="124"/>
      <c r="H332" s="124"/>
      <c r="I332" s="124"/>
      <c r="J332" s="42">
        <f ca="1">J$331-J$322</f>
        <v>0</v>
      </c>
      <c r="K332" s="42">
        <f ca="1">K$331-K$322</f>
        <v>0</v>
      </c>
      <c r="L332" s="42">
        <f ca="1">L$331-L$322</f>
        <v>0</v>
      </c>
      <c r="M332" s="42">
        <f ca="1">M$331-M$322</f>
        <v>0</v>
      </c>
      <c r="N332" s="42">
        <f ca="1">N$331-N$322</f>
        <v>0</v>
      </c>
    </row>
    <row r="333" spans="1:14" s="73" customFormat="1" x14ac:dyDescent="0.2">
      <c r="A333" s="27" t="s">
        <v>219</v>
      </c>
      <c r="B333"/>
      <c r="C333" s="72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</row>
    <row r="334" spans="1:14" s="73" customFormat="1" x14ac:dyDescent="0.2">
      <c r="A334" s="28" t="s">
        <v>1</v>
      </c>
      <c r="B334"/>
      <c r="C334" s="72"/>
      <c r="D334" s="124"/>
      <c r="E334" s="124"/>
      <c r="F334" s="124"/>
      <c r="G334" s="124"/>
      <c r="H334" s="124"/>
      <c r="I334" s="124"/>
      <c r="J334" s="36">
        <f ca="1">IF($F$1="Yes",SUM(SUM(Data!I$124:I$132)*(OFFSET('Forecast Adjuster'!$A$65,0,J$289)-1),SUM(Data!I$101,Data!I$102,Data!I$104)*(OFFSET('Forecast Adjuster'!$A$67,0,J$289)-1),Data!I$103*(OFFSET('Forecast Adjuster'!$A$68,0,J$289)-1) ),0)</f>
        <v>0</v>
      </c>
      <c r="K334" s="36">
        <f ca="1">IF($F$1="Yes",SUM(SUM(Data!J$124:J$132)*(OFFSET('Forecast Adjuster'!$A$65,0,K$289)-1),SUM(Data!J$101,Data!J$102,Data!J$104)*(OFFSET('Forecast Adjuster'!$A$67,0,K$289)-1),Data!J$103*(OFFSET('Forecast Adjuster'!$A$68,0,K$289)-1) ),0)</f>
        <v>0</v>
      </c>
      <c r="L334" s="36">
        <f ca="1">IF($F$1="Yes",SUM(SUM(Data!K$124:K$132)*(OFFSET('Forecast Adjuster'!$A$65,0,L$289)-1),SUM(Data!K$101,Data!K$102,Data!K$104)*(OFFSET('Forecast Adjuster'!$A$67,0,L$289)-1),Data!K$103*(OFFSET('Forecast Adjuster'!$A$68,0,L$289)-1) ),0)</f>
        <v>0</v>
      </c>
      <c r="M334" s="36">
        <f ca="1">IF($F$1="Yes",SUM(SUM(Data!L$124:L$132)*(OFFSET('Forecast Adjuster'!$A$65,0,M$289)-1),SUM(Data!L$101,Data!L$102,Data!L$104)*(OFFSET('Forecast Adjuster'!$A$67,0,M$289)-1),Data!L$103*(OFFSET('Forecast Adjuster'!$A$68,0,M$289)-1) ),0)</f>
        <v>0</v>
      </c>
      <c r="N334" s="36">
        <f ca="1">IF($F$1="Yes",SUM(SUM(Data!M$124:M$132)*(OFFSET('Forecast Adjuster'!$A$65,0,N$289)-1),SUM(Data!M$101,Data!M$102,Data!M$104)*(OFFSET('Forecast Adjuster'!$A$67,0,N$289)-1),Data!M$103*(OFFSET('Forecast Adjuster'!$A$68,0,N$289)-1) ),0)</f>
        <v>0</v>
      </c>
    </row>
    <row r="335" spans="1:14" s="73" customFormat="1" x14ac:dyDescent="0.2">
      <c r="A335" s="28" t="s">
        <v>113</v>
      </c>
      <c r="B335"/>
      <c r="C335" s="72"/>
      <c r="D335" s="124"/>
      <c r="E335" s="124"/>
      <c r="F335" s="124"/>
      <c r="G335" s="124"/>
      <c r="H335" s="124"/>
      <c r="I335" s="124"/>
      <c r="J335" s="36">
        <f ca="1">IF($F$1="Yes",SUM((Data!I$39-SUM(Data!I$140,Data!I$141))*(OFFSET('Forecast Adjuster'!$A$67,0,J$289)-1),(SUM(Data!I$41:I$52,Data!I$55)-SUM(J$132:J$132))*(OFFSET('Forecast Adjuster'!$A$67,0,J$289)*OFFSET('Forecast Adjuster'!$A$70,0,J$289)-1),Data!I$140*(OFFSET('Forecast Adjuster'!$A$72,0,J$289)-1),Data!I$141*(OFFSET('Forecast Adjuster'!$A$67,0,J$289)*AVERAGE(1,OFFSET('Forecast Adjuster'!$A$73,0,J$289))-1)),0)</f>
        <v>0</v>
      </c>
      <c r="K335" s="36">
        <f ca="1">IF($F$1="Yes",SUM((Data!J$39-SUM(Data!J$140,Data!J$141))*(OFFSET('Forecast Adjuster'!$A$67,0,K$289)-1),(SUM(Data!J$41:J$52,Data!J$55)-SUM(K$132:K$132))*(OFFSET('Forecast Adjuster'!$A$67,0,K$289)*OFFSET('Forecast Adjuster'!$A$70,0,K$289)-1),Data!J$140*(OFFSET('Forecast Adjuster'!$A$72,0,K$289)-1),Data!J$141*(OFFSET('Forecast Adjuster'!$A$67,0,K$289)*AVERAGE(1,OFFSET('Forecast Adjuster'!$A$73,0,K$289))-1)),0)</f>
        <v>0</v>
      </c>
      <c r="L335" s="36">
        <f ca="1">IF($F$1="Yes",SUM((Data!K$39-SUM(Data!K$140,Data!K$141))*(OFFSET('Forecast Adjuster'!$A$67,0,L$289)-1),(SUM(Data!K$41:K$52,Data!K$55)-SUM(L$132:L$132))*(OFFSET('Forecast Adjuster'!$A$67,0,L$289)*OFFSET('Forecast Adjuster'!$A$70,0,L$289)-1),Data!K$140*(OFFSET('Forecast Adjuster'!$A$72,0,L$289)-1),Data!K$141*(OFFSET('Forecast Adjuster'!$A$67,0,L$289)*AVERAGE(1,OFFSET('Forecast Adjuster'!$A$73,0,L$289))-1)),0)</f>
        <v>0</v>
      </c>
      <c r="M335" s="36">
        <f ca="1">IF($F$1="Yes",SUM((Data!L$39-SUM(Data!L$140,Data!L$141))*(OFFSET('Forecast Adjuster'!$A$67,0,M$289)-1),(SUM(Data!L$41:L$52,Data!L$55)-SUM(M$132:M$132))*(OFFSET('Forecast Adjuster'!$A$67,0,M$289)*OFFSET('Forecast Adjuster'!$A$70,0,M$289)-1),Data!L$140*(OFFSET('Forecast Adjuster'!$A$72,0,M$289)-1),Data!L$141*(OFFSET('Forecast Adjuster'!$A$67,0,M$289)*AVERAGE(1,OFFSET('Forecast Adjuster'!$A$73,0,M$289))-1)),0)</f>
        <v>0</v>
      </c>
      <c r="N335" s="36">
        <f ca="1">IF($F$1="Yes",SUM((Data!M$39-SUM(Data!M$140,Data!M$141))*(OFFSET('Forecast Adjuster'!$A$67,0,N$289)-1),(SUM(Data!M$41:M$52,Data!M$55)-SUM(N$132:N$132))*(OFFSET('Forecast Adjuster'!$A$67,0,N$289)*OFFSET('Forecast Adjuster'!$A$70,0,N$289)-1),Data!M$140*(OFFSET('Forecast Adjuster'!$A$72,0,N$289)-1),Data!M$141*(OFFSET('Forecast Adjuster'!$A$67,0,N$289)*AVERAGE(1,OFFSET('Forecast Adjuster'!$A$73,0,N$289))-1)),0)</f>
        <v>0</v>
      </c>
    </row>
    <row r="336" spans="1:14" s="73" customFormat="1" x14ac:dyDescent="0.2">
      <c r="A336" s="28" t="s">
        <v>803</v>
      </c>
      <c r="B336"/>
      <c r="C336" s="72"/>
      <c r="D336" s="124"/>
      <c r="E336" s="124"/>
      <c r="F336" s="124"/>
      <c r="G336" s="124"/>
      <c r="H336" s="124"/>
      <c r="I336" s="124"/>
      <c r="J336" s="36">
        <f ca="1">IF($F$1="Yes",Data!I$53*(OFFSET('Forecast Adjuster'!$A$68,0,J$289)-1),0)</f>
        <v>0</v>
      </c>
      <c r="K336" s="36">
        <f ca="1">IF($F$1="Yes",Data!J$53*(OFFSET('Forecast Adjuster'!$A$68,0,K$289)-1),0)</f>
        <v>0</v>
      </c>
      <c r="L336" s="36">
        <f ca="1">IF($F$1="Yes",Data!K$53*(OFFSET('Forecast Adjuster'!$A$68,0,L$289)-1),0)</f>
        <v>0</v>
      </c>
      <c r="M336" s="36">
        <f ca="1">IF($F$1="Yes",Data!L$53*(OFFSET('Forecast Adjuster'!$A$68,0,M$289)-1),0)</f>
        <v>0</v>
      </c>
      <c r="N336" s="36">
        <f ca="1">IF($F$1="Yes",Data!M$53*(OFFSET('Forecast Adjuster'!$A$68,0,N$289)-1),0)</f>
        <v>0</v>
      </c>
    </row>
    <row r="337" spans="1:14" s="73" customFormat="1" x14ac:dyDescent="0.2">
      <c r="A337" s="28" t="s">
        <v>771</v>
      </c>
      <c r="B337"/>
      <c r="C337" s="72"/>
      <c r="D337" s="124"/>
      <c r="E337" s="124"/>
      <c r="F337" s="124"/>
      <c r="G337" s="124"/>
      <c r="H337" s="124"/>
      <c r="I337" s="124"/>
      <c r="J337" s="36">
        <f ca="1">J$248*J$342/2</f>
        <v>0</v>
      </c>
      <c r="K337" s="36">
        <f ca="1">K$248*K$342/2</f>
        <v>0</v>
      </c>
      <c r="L337" s="36">
        <f ca="1">L$248*L$342/2</f>
        <v>0</v>
      </c>
      <c r="M337" s="36">
        <f ca="1">M$248*M$342/2</f>
        <v>0</v>
      </c>
      <c r="N337" s="36">
        <f ca="1">N$248*N$342/2</f>
        <v>0</v>
      </c>
    </row>
    <row r="338" spans="1:14" s="73" customFormat="1" x14ac:dyDescent="0.2">
      <c r="A338" s="28" t="s">
        <v>772</v>
      </c>
      <c r="B338"/>
      <c r="C338" s="72"/>
      <c r="D338" s="124"/>
      <c r="E338" s="124"/>
      <c r="F338" s="124"/>
      <c r="G338" s="124"/>
      <c r="H338" s="124"/>
      <c r="I338" s="124"/>
      <c r="J338" s="36">
        <f ca="1">J$248*J$337/2</f>
        <v>0</v>
      </c>
      <c r="K338" s="36">
        <f ca="1">K$248*K$337/2</f>
        <v>0</v>
      </c>
      <c r="L338" s="36">
        <f ca="1">L$248*L$337/2</f>
        <v>0</v>
      </c>
      <c r="M338" s="36">
        <f ca="1">M$248*M$337/2</f>
        <v>0</v>
      </c>
      <c r="N338" s="36">
        <f ca="1">N$248*N$337/2</f>
        <v>0</v>
      </c>
    </row>
    <row r="339" spans="1:14" s="73" customFormat="1" x14ac:dyDescent="0.2">
      <c r="A339" s="28" t="s">
        <v>773</v>
      </c>
      <c r="B339"/>
      <c r="C339" s="72"/>
      <c r="D339" s="124"/>
      <c r="E339" s="124"/>
      <c r="F339" s="124"/>
      <c r="G339" s="124"/>
      <c r="H339" s="124"/>
      <c r="I339" s="124"/>
      <c r="J339" s="36">
        <f ca="1">J$248*SUM($E$343:I$343)</f>
        <v>0</v>
      </c>
      <c r="K339" s="36">
        <f ca="1">K$248*SUM($E$343:J$343)</f>
        <v>0</v>
      </c>
      <c r="L339" s="36">
        <f ca="1">L$248*SUM($E$343:K$343)</f>
        <v>0</v>
      </c>
      <c r="M339" s="36">
        <f ca="1">M$248*SUM($E$343:L$343)</f>
        <v>0</v>
      </c>
      <c r="N339" s="36">
        <f ca="1">N$248*SUM($E$343:M$343)</f>
        <v>0</v>
      </c>
    </row>
    <row r="340" spans="1:14" s="73" customFormat="1" x14ac:dyDescent="0.2">
      <c r="A340" s="197" t="s">
        <v>723</v>
      </c>
      <c r="B340"/>
      <c r="C340" s="72"/>
      <c r="D340" s="124"/>
      <c r="E340" s="124"/>
      <c r="F340" s="124"/>
      <c r="G340" s="124"/>
      <c r="H340" s="124"/>
      <c r="I340" s="124"/>
      <c r="J340" s="42">
        <f ca="1">J$334-SUM(J$335:J$339)</f>
        <v>0</v>
      </c>
      <c r="K340" s="42">
        <f ca="1">K$334-SUM(K$335:K$339)</f>
        <v>0</v>
      </c>
      <c r="L340" s="42">
        <f ca="1">L$334-SUM(L$335:L$339)</f>
        <v>0</v>
      </c>
      <c r="M340" s="42">
        <f ca="1">M$334-SUM(M$335:M$339)</f>
        <v>0</v>
      </c>
      <c r="N340" s="42">
        <f ca="1">N$334-SUM(N$335:N$339)</f>
        <v>0</v>
      </c>
    </row>
    <row r="341" spans="1:14" s="73" customFormat="1" x14ac:dyDescent="0.2">
      <c r="A341" s="197" t="s">
        <v>780</v>
      </c>
      <c r="B341"/>
      <c r="C341" s="72"/>
      <c r="D341" s="124"/>
      <c r="E341" s="124"/>
      <c r="F341" s="124"/>
      <c r="G341" s="124"/>
      <c r="H341" s="124"/>
      <c r="I341" s="124"/>
      <c r="J341" s="42">
        <f ca="1">-J$344</f>
        <v>0</v>
      </c>
      <c r="K341" s="42">
        <f ca="1">-K$344</f>
        <v>0</v>
      </c>
      <c r="L341" s="42">
        <f ca="1">-L$344</f>
        <v>0</v>
      </c>
      <c r="M341" s="42">
        <f ca="1">-M$344</f>
        <v>0</v>
      </c>
      <c r="N341" s="42">
        <f ca="1">-N$344</f>
        <v>0</v>
      </c>
    </row>
    <row r="342" spans="1:14" s="73" customFormat="1" x14ac:dyDescent="0.2">
      <c r="A342" s="28" t="s">
        <v>777</v>
      </c>
      <c r="B342"/>
      <c r="C342" s="72"/>
      <c r="D342" s="124"/>
      <c r="E342" s="124"/>
      <c r="F342" s="124"/>
      <c r="G342" s="124"/>
      <c r="H342" s="124"/>
      <c r="I342" s="124"/>
      <c r="J342" s="233">
        <f ca="1">-(J$334-J$335)</f>
        <v>0</v>
      </c>
      <c r="K342" s="233">
        <f ca="1">-(K$334-K$335)</f>
        <v>0</v>
      </c>
      <c r="L342" s="233">
        <f ca="1">-(L$334-L$335)</f>
        <v>0</v>
      </c>
      <c r="M342" s="233">
        <f ca="1">-(M$334-M$335)</f>
        <v>0</v>
      </c>
      <c r="N342" s="233">
        <f ca="1">-(N$334-N$335)</f>
        <v>0</v>
      </c>
    </row>
    <row r="343" spans="1:14" s="73" customFormat="1" x14ac:dyDescent="0.2">
      <c r="A343" s="28" t="s">
        <v>114</v>
      </c>
      <c r="B343"/>
      <c r="C343" s="72"/>
      <c r="D343" s="124"/>
      <c r="E343" s="124"/>
      <c r="F343" s="124"/>
      <c r="G343" s="124"/>
      <c r="H343" s="124"/>
      <c r="I343" s="124"/>
      <c r="J343" s="233">
        <f ca="1">SUM(J$342,J$336:J$339)</f>
        <v>0</v>
      </c>
      <c r="K343" s="233">
        <f ca="1">SUM(K$342,K$336:K$339)</f>
        <v>0</v>
      </c>
      <c r="L343" s="233">
        <f ca="1">SUM(L$342,L$336:L$339)</f>
        <v>0</v>
      </c>
      <c r="M343" s="233">
        <f ca="1">SUM(M$342,M$336:M$339)</f>
        <v>0</v>
      </c>
      <c r="N343" s="233">
        <f ca="1">SUM(N$342,N$336:N$339)</f>
        <v>0</v>
      </c>
    </row>
    <row r="344" spans="1:14" s="73" customFormat="1" x14ac:dyDescent="0.2">
      <c r="A344" s="197" t="s">
        <v>778</v>
      </c>
      <c r="B344"/>
      <c r="C344" s="72"/>
      <c r="D344" s="124"/>
      <c r="E344" s="124"/>
      <c r="F344" s="124"/>
      <c r="G344" s="124"/>
      <c r="H344" s="124"/>
      <c r="I344" s="124"/>
      <c r="J344" s="42">
        <f ca="1">SUM($E$343:J$343)</f>
        <v>0</v>
      </c>
      <c r="K344" s="42">
        <f ca="1">SUM($E$343:K$343)</f>
        <v>0</v>
      </c>
      <c r="L344" s="42">
        <f ca="1">SUM($E$343:L$343)</f>
        <v>0</v>
      </c>
      <c r="M344" s="42">
        <f ca="1">SUM($E$343:M$343)</f>
        <v>0</v>
      </c>
      <c r="N344" s="42">
        <f ca="1">SUM($E$343:N$343)</f>
        <v>0</v>
      </c>
    </row>
    <row r="345" spans="1:14" s="73" customFormat="1" x14ac:dyDescent="0.2">
      <c r="A345" s="197" t="s">
        <v>779</v>
      </c>
      <c r="B345"/>
      <c r="C345" s="72"/>
      <c r="D345" s="124"/>
      <c r="E345" s="124"/>
      <c r="F345" s="124"/>
      <c r="G345" s="124"/>
      <c r="H345" s="124"/>
      <c r="I345" s="124"/>
      <c r="J345" s="42">
        <f ca="1">J$344</f>
        <v>0</v>
      </c>
      <c r="K345" s="42">
        <f ca="1">K$344</f>
        <v>0</v>
      </c>
      <c r="L345" s="42">
        <f ca="1">L$344</f>
        <v>0</v>
      </c>
      <c r="M345" s="42">
        <f ca="1">M$344</f>
        <v>0</v>
      </c>
      <c r="N345" s="42">
        <f ca="1">N$344</f>
        <v>0</v>
      </c>
    </row>
    <row r="346" spans="1:14" s="73" customFormat="1" x14ac:dyDescent="0.2">
      <c r="A346" s="27" t="s">
        <v>733</v>
      </c>
      <c r="B346"/>
      <c r="C346" s="72"/>
      <c r="D346" s="124"/>
      <c r="E346" s="124"/>
      <c r="F346" s="124"/>
      <c r="G346" s="124"/>
      <c r="H346" s="124"/>
      <c r="I346" s="124"/>
      <c r="J346" s="42"/>
      <c r="K346" s="42"/>
      <c r="L346" s="42"/>
      <c r="M346" s="42"/>
      <c r="N346" s="42"/>
    </row>
    <row r="347" spans="1:14" s="73" customFormat="1" x14ac:dyDescent="0.2">
      <c r="A347" s="30" t="s">
        <v>735</v>
      </c>
      <c r="B347"/>
      <c r="C347" s="72"/>
      <c r="D347" s="124"/>
      <c r="E347" s="124"/>
      <c r="F347" s="124"/>
      <c r="G347" s="124"/>
      <c r="H347" s="124"/>
      <c r="I347" s="124"/>
      <c r="J347" s="36">
        <f ca="1">IF($L$1="Yes",IF(OFFSET(Tracks!$L$7,0,J$289)=0,OFFSET('Forecast Adjuster'!$L$84,0,J$289),Data!I$195*(OFFSET('Forecast Adjuster'!$L$84,0,J$289)/OFFSET(Tracks!$L$7,0,J$289)-1)),0)</f>
        <v>0</v>
      </c>
      <c r="K347" s="36">
        <f ca="1">IF($L$1="Yes",IF(OFFSET(Tracks!$L$7,0,K$289)=0,OFFSET('Forecast Adjuster'!$L$84,0,K$289),Data!J$195*(OFFSET('Forecast Adjuster'!$L$84,0,K$289)/OFFSET(Tracks!$L$7,0,K$289)-1)),0)</f>
        <v>0</v>
      </c>
      <c r="L347" s="36">
        <f ca="1">IF($L$1="Yes",IF(OFFSET(Tracks!$L$7,0,L$289)=0,OFFSET('Forecast Adjuster'!$L$84,0,L$289),Data!K$195*(OFFSET('Forecast Adjuster'!$L$84,0,L$289)/OFFSET(Tracks!$L$7,0,L$289)-1)),0)</f>
        <v>0</v>
      </c>
      <c r="M347" s="36">
        <f ca="1">IF($L$1="Yes",IF(OFFSET(Tracks!$L$7,0,M$289)=0,OFFSET('Forecast Adjuster'!$L$84,0,M$289),Data!L$195*(OFFSET('Forecast Adjuster'!$L$84,0,M$289)/OFFSET(Tracks!$L$7,0,M$289)-1)),0)</f>
        <v>0</v>
      </c>
      <c r="N347" s="36">
        <f ca="1">IF($L$1="Yes",IF(OFFSET(Tracks!$L$7,0,N$289)=0,OFFSET('Forecast Adjuster'!$L$84,0,N$289),Data!M$195*(OFFSET('Forecast Adjuster'!$L$84,0,N$289)/OFFSET(Tracks!$L$7,0,N$289)-1)),0)</f>
        <v>0</v>
      </c>
    </row>
    <row r="348" spans="1:14" s="73" customFormat="1" x14ac:dyDescent="0.2">
      <c r="A348" s="28" t="s">
        <v>724</v>
      </c>
      <c r="B348"/>
      <c r="C348" s="72"/>
      <c r="D348" s="124"/>
      <c r="E348" s="124"/>
      <c r="F348" s="124"/>
      <c r="G348" s="124"/>
      <c r="H348" s="124"/>
      <c r="I348" s="124"/>
      <c r="J348" s="36">
        <f ca="1">IF($L$1="Yes",IF(OFFSET(Tracks!$L$6,0,J$289)=0,(Data!I$193/SUM(Data!I$193,Data!I$196))*OFFSET('Forecast Adjuster'!$L$83,0,J$289),Data!I$193*(OFFSET('Forecast Adjuster'!$L$83,0,J$289)/OFFSET(Tracks!$L$6,0,J$289)-1)),0)</f>
        <v>0</v>
      </c>
      <c r="K348" s="36">
        <f ca="1">IF($L$1="Yes",IF(OFFSET(Tracks!$L$6,0,K$289)=0,(Data!J$193/SUM(Data!J$193,Data!J$196))*OFFSET('Forecast Adjuster'!$L$83,0,K$289),Data!J$193*(OFFSET('Forecast Adjuster'!$L$83,0,K$289)/OFFSET(Tracks!$L$6,0,K$289)-1)),0)</f>
        <v>0</v>
      </c>
      <c r="L348" s="36">
        <f ca="1">IF($L$1="Yes",IF(OFFSET(Tracks!$L$6,0,L$289)=0,(Data!K$193/SUM(Data!K$193,Data!K$196))*OFFSET('Forecast Adjuster'!$L$83,0,L$289),Data!K$193*(OFFSET('Forecast Adjuster'!$L$83,0,L$289)/OFFSET(Tracks!$L$6,0,L$289)-1)),0)</f>
        <v>0</v>
      </c>
      <c r="M348" s="36">
        <f ca="1">IF($L$1="Yes",IF(OFFSET(Tracks!$L$6,0,M$289)=0,(Data!L$193/SUM(Data!L$193,Data!L$196))*OFFSET('Forecast Adjuster'!$L$83,0,M$289),Data!L$193*(OFFSET('Forecast Adjuster'!$L$83,0,M$289)/OFFSET(Tracks!$L$6,0,M$289)-1)),0)</f>
        <v>0</v>
      </c>
      <c r="N348" s="36">
        <f ca="1">IF($L$1="Yes",IF(OFFSET(Tracks!$L$6,0,N$289)=0,(Data!M$193/SUM(Data!M$193,Data!M$196))*OFFSET('Forecast Adjuster'!$L$83,0,N$289),Data!M$193*(OFFSET('Forecast Adjuster'!$L$83,0,N$289)/OFFSET(Tracks!$L$6,0,N$289)-1)),0)</f>
        <v>0</v>
      </c>
    </row>
    <row r="349" spans="1:14" s="73" customFormat="1" x14ac:dyDescent="0.2">
      <c r="A349" s="28" t="s">
        <v>725</v>
      </c>
      <c r="B349"/>
      <c r="C349" s="72"/>
      <c r="D349" s="124"/>
      <c r="E349" s="124"/>
      <c r="F349" s="124"/>
      <c r="G349" s="124"/>
      <c r="H349" s="124"/>
      <c r="I349" s="124"/>
      <c r="J349" s="36">
        <f ca="1">IF($L$1="Yes",IF(OFFSET(Tracks!$L$6,0,J$289)=0,(Data!I$196/SUM(Data!I$193,Data!I$196))*OFFSET('Forecast Adjuster'!$L$83,0,J$289),Data!I$196*(OFFSET('Forecast Adjuster'!$L$83,0,J$289)/OFFSET(Tracks!$L$6,0,J$289)-1)),0)</f>
        <v>0</v>
      </c>
      <c r="K349" s="36">
        <f ca="1">IF($L$1="Yes",IF(OFFSET(Tracks!$L$6,0,K$289)=0,(Data!J$196/SUM(Data!J$193,Data!J$196))*OFFSET('Forecast Adjuster'!$L$83,0,K$289),Data!J$196*(OFFSET('Forecast Adjuster'!$L$83,0,K$289)/OFFSET(Tracks!$L$6,0,K$289)-1)),0)</f>
        <v>0</v>
      </c>
      <c r="L349" s="36">
        <f ca="1">IF($L$1="Yes",IF(OFFSET(Tracks!$L$6,0,L$289)=0,(Data!K$196/SUM(Data!K$193,Data!K$196))*OFFSET('Forecast Adjuster'!$L$83,0,L$289),Data!K$196*(OFFSET('Forecast Adjuster'!$L$83,0,L$289)/OFFSET(Tracks!$L$6,0,L$289)-1)),0)</f>
        <v>0</v>
      </c>
      <c r="M349" s="36">
        <f ca="1">IF($L$1="Yes",IF(OFFSET(Tracks!$L$6,0,M$289)=0,(Data!L$196/SUM(Data!L$193,Data!L$196))*OFFSET('Forecast Adjuster'!$L$83,0,M$289),Data!L$196*(OFFSET('Forecast Adjuster'!$L$83,0,M$289)/OFFSET(Tracks!$L$6,0,M$289)-1)),0)</f>
        <v>0</v>
      </c>
      <c r="N349" s="36">
        <f ca="1">IF($L$1="Yes",IF(OFFSET(Tracks!$L$6,0,N$289)=0,(Data!M$196/SUM(Data!M$193,Data!M$196))*OFFSET('Forecast Adjuster'!$L$83,0,N$289),Data!M$196*(OFFSET('Forecast Adjuster'!$L$83,0,N$289)/OFFSET(Tracks!$L$6,0,N$289)-1)),0)</f>
        <v>0</v>
      </c>
    </row>
    <row r="350" spans="1:14" s="73" customFormat="1" x14ac:dyDescent="0.2">
      <c r="A350" s="30" t="s">
        <v>925</v>
      </c>
      <c r="B350"/>
      <c r="C350" s="72"/>
      <c r="D350" s="124"/>
      <c r="E350" s="124"/>
      <c r="F350" s="124"/>
      <c r="G350" s="124"/>
      <c r="H350" s="124"/>
      <c r="I350" s="124"/>
      <c r="J350" s="36">
        <f ca="1">IF($L$1="Yes",IF(OFFSET(Tracks!$L$6,0,J$289)=0,0,Data!I$194*(OFFSET('Forecast Adjuster'!$L$83,0,J$289)/OFFSET(Tracks!$L$6,0,J$289)-1)),0)</f>
        <v>0</v>
      </c>
      <c r="K350" s="36">
        <f ca="1">IF($L$1="Yes",IF(OFFSET(Tracks!$L$6,0,K$289)=0,0,Data!J$194*(OFFSET('Forecast Adjuster'!$L$83,0,K$289)/OFFSET(Tracks!$L$6,0,K$289)-1)),0)</f>
        <v>0</v>
      </c>
      <c r="L350" s="36">
        <f ca="1">IF($L$1="Yes",IF(OFFSET(Tracks!$L$6,0,L$289)=0,0,Data!K$194*(OFFSET('Forecast Adjuster'!$L$83,0,L$289)/OFFSET(Tracks!$L$6,0,L$289)-1)),0)</f>
        <v>0</v>
      </c>
      <c r="M350" s="36">
        <f ca="1">IF($L$1="Yes",IF(OFFSET(Tracks!$L$6,0,M$289)=0,0,Data!L$194*(OFFSET('Forecast Adjuster'!$L$83,0,M$289)/OFFSET(Tracks!$L$6,0,M$289)-1)),0)</f>
        <v>0</v>
      </c>
      <c r="N350" s="36">
        <f ca="1">IF($L$1="Yes",IF(OFFSET(Tracks!$L$6,0,N$289)=0,0,Data!M$194*(OFFSET('Forecast Adjuster'!$L$83,0,N$289)/OFFSET(Tracks!$L$6,0,N$289)-1)),0)</f>
        <v>0</v>
      </c>
    </row>
    <row r="351" spans="1:14" s="73" customFormat="1" x14ac:dyDescent="0.2">
      <c r="A351" s="28" t="s">
        <v>774</v>
      </c>
      <c r="B351"/>
      <c r="C351" s="72"/>
      <c r="D351" s="124"/>
      <c r="E351" s="124"/>
      <c r="F351" s="124"/>
      <c r="G351" s="124"/>
      <c r="H351" s="124"/>
      <c r="I351" s="124"/>
      <c r="J351" s="36">
        <f ca="1">J$248*J$360/2</f>
        <v>0</v>
      </c>
      <c r="K351" s="36">
        <f ca="1">K$248*K$360/2</f>
        <v>0</v>
      </c>
      <c r="L351" s="36">
        <f ca="1">L$248*L$360/2</f>
        <v>0</v>
      </c>
      <c r="M351" s="36">
        <f ca="1">M$248*M$360/2</f>
        <v>0</v>
      </c>
      <c r="N351" s="36">
        <f ca="1">N$248*N$360/2</f>
        <v>0</v>
      </c>
    </row>
    <row r="352" spans="1:14" s="73" customFormat="1" x14ac:dyDescent="0.2">
      <c r="A352" s="28" t="s">
        <v>775</v>
      </c>
      <c r="B352"/>
      <c r="C352" s="72"/>
      <c r="D352" s="124"/>
      <c r="E352" s="124"/>
      <c r="F352" s="124"/>
      <c r="G352" s="124"/>
      <c r="H352" s="124"/>
      <c r="I352" s="124"/>
      <c r="J352" s="36">
        <f ca="1">J$248*J$351/2</f>
        <v>0</v>
      </c>
      <c r="K352" s="36">
        <f ca="1">K$248*K$351/2</f>
        <v>0</v>
      </c>
      <c r="L352" s="36">
        <f ca="1">L$248*L$351/2</f>
        <v>0</v>
      </c>
      <c r="M352" s="36">
        <f ca="1">M$248*M$351/2</f>
        <v>0</v>
      </c>
      <c r="N352" s="36">
        <f ca="1">N$248*N$351/2</f>
        <v>0</v>
      </c>
    </row>
    <row r="353" spans="1:14" s="73" customFormat="1" x14ac:dyDescent="0.2">
      <c r="A353" s="28" t="s">
        <v>776</v>
      </c>
      <c r="B353"/>
      <c r="C353" s="72"/>
      <c r="D353" s="124"/>
      <c r="E353" s="124"/>
      <c r="F353" s="124"/>
      <c r="G353" s="124"/>
      <c r="H353" s="124"/>
      <c r="I353" s="124"/>
      <c r="J353" s="36">
        <f ca="1">J$248*SUM($E$361:I$361)</f>
        <v>0</v>
      </c>
      <c r="K353" s="36">
        <f ca="1">K$248*SUM($E$361:J$361)</f>
        <v>0</v>
      </c>
      <c r="L353" s="36">
        <f ca="1">L$248*SUM($E$361:K$361)</f>
        <v>0</v>
      </c>
      <c r="M353" s="36">
        <f ca="1">M$248*SUM($E$361:L$361)</f>
        <v>0</v>
      </c>
      <c r="N353" s="36">
        <f ca="1">N$248*SUM($E$361:M$361)</f>
        <v>0</v>
      </c>
    </row>
    <row r="354" spans="1:14" s="73" customFormat="1" x14ac:dyDescent="0.2">
      <c r="A354" s="197" t="s">
        <v>726</v>
      </c>
      <c r="B354"/>
      <c r="C354" s="72"/>
      <c r="D354" s="124"/>
      <c r="E354" s="124"/>
      <c r="F354" s="124"/>
      <c r="G354" s="124"/>
      <c r="H354" s="124"/>
      <c r="I354" s="124"/>
      <c r="J354" s="42">
        <f ca="1">SUM(J$348,J$349)-SUM(J$351:J$353)</f>
        <v>0</v>
      </c>
      <c r="K354" s="42">
        <f ca="1">SUM(K$348,K$349)-SUM(K$351:K$353)</f>
        <v>0</v>
      </c>
      <c r="L354" s="42">
        <f ca="1">SUM(L$348,L$349)-SUM(L$351:L$353)</f>
        <v>0</v>
      </c>
      <c r="M354" s="42">
        <f ca="1">SUM(M$348,M$349)-SUM(M$351:M$353)</f>
        <v>0</v>
      </c>
      <c r="N354" s="42">
        <f ca="1">SUM(N$348,N$349)-SUM(N$351:N$353)</f>
        <v>0</v>
      </c>
    </row>
    <row r="355" spans="1:14" s="73" customFormat="1" x14ac:dyDescent="0.2">
      <c r="A355" s="30" t="s">
        <v>736</v>
      </c>
      <c r="B355"/>
      <c r="C355" s="72"/>
      <c r="D355" s="124"/>
      <c r="E355" s="124"/>
      <c r="F355" s="124"/>
      <c r="G355" s="124"/>
      <c r="H355" s="124"/>
      <c r="I355" s="124"/>
      <c r="J355" s="36">
        <f ca="1">IF($L$1="Yes",IF(OFFSET(Tracks!$L$5,0,J$289)=0,OFFSET('Forecast Adjuster'!$L$82,0,J$289),Data!I$198*(OFFSET('Forecast Adjuster'!$L$82,0,J$289)/OFFSET(Tracks!$L$5,0,J$289)-1)),0)</f>
        <v>0</v>
      </c>
      <c r="K355" s="36">
        <f ca="1">IF($L$1="Yes",IF(OFFSET(Tracks!$L$5,0,K$289)=0,OFFSET('Forecast Adjuster'!$L$82,0,K$289),Data!J$198*(OFFSET('Forecast Adjuster'!$L$82,0,K$289)/OFFSET(Tracks!$L$5,0,K$289)-1)),0)</f>
        <v>0</v>
      </c>
      <c r="L355" s="36">
        <f ca="1">IF($L$1="Yes",IF(OFFSET(Tracks!$L$5,0,L$289)=0,OFFSET('Forecast Adjuster'!$L$82,0,L$289),Data!K$198*(OFFSET('Forecast Adjuster'!$L$82,0,L$289)/OFFSET(Tracks!$L$5,0,L$289)-1)),0)</f>
        <v>0</v>
      </c>
      <c r="M355" s="36">
        <f ca="1">IF($L$1="Yes",IF(OFFSET(Tracks!$L$5,0,M$289)=0,OFFSET('Forecast Adjuster'!$L$82,0,M$289),Data!L$198*(OFFSET('Forecast Adjuster'!$L$82,0,M$289)/OFFSET(Tracks!$L$5,0,M$289)-1)),0)</f>
        <v>0</v>
      </c>
      <c r="N355" s="36">
        <f ca="1">IF($L$1="Yes",IF(OFFSET(Tracks!$L$5,0,N$289)=0,OFFSET('Forecast Adjuster'!$L$82,0,N$289),Data!M$198*(OFFSET('Forecast Adjuster'!$L$82,0,N$289)/OFFSET(Tracks!$L$5,0,N$289)-1)),0)</f>
        <v>0</v>
      </c>
    </row>
    <row r="356" spans="1:14" s="73" customFormat="1" x14ac:dyDescent="0.2">
      <c r="A356" s="30" t="s">
        <v>741</v>
      </c>
      <c r="B356"/>
      <c r="C356" s="72"/>
      <c r="D356" s="124"/>
      <c r="E356" s="124"/>
      <c r="F356" s="124"/>
      <c r="G356" s="124"/>
      <c r="H356" s="124"/>
      <c r="I356" s="124"/>
      <c r="J356" s="36">
        <f ca="1">IF($L$1="Yes",IF(OFFSET(Tracks!$L$8,0,J$289)=0,0,Data!I$199*(OFFSET('Forecast Adjuster'!$L$85,0,J$289)/OFFSET(Tracks!$L$8,0,J$289)-1)),0)</f>
        <v>0</v>
      </c>
      <c r="K356" s="36">
        <f ca="1">IF($L$1="Yes",IF(OFFSET(Tracks!$L$8,0,K$289)=0,0,Data!J$199*(OFFSET('Forecast Adjuster'!$L$85,0,K$289)/OFFSET(Tracks!$L$8,0,K$289)-1)),0)</f>
        <v>0</v>
      </c>
      <c r="L356" s="36">
        <f ca="1">IF($L$1="Yes",IF(OFFSET(Tracks!$L$8,0,L$289)=0,0,Data!K$199*(OFFSET('Forecast Adjuster'!$L$85,0,L$289)/OFFSET(Tracks!$L$8,0,L$289)-1)),0)</f>
        <v>0</v>
      </c>
      <c r="M356" s="36">
        <f ca="1">IF($L$1="Yes",IF(OFFSET(Tracks!$L$8,0,M$289)=0,0,Data!L$199*(OFFSET('Forecast Adjuster'!$L$85,0,M$289)/OFFSET(Tracks!$L$8,0,M$289)-1)),0)</f>
        <v>0</v>
      </c>
      <c r="N356" s="36">
        <f ca="1">IF($L$1="Yes",IF(OFFSET(Tracks!$L$8,0,N$289)=0,0,Data!M$199*(OFFSET('Forecast Adjuster'!$L$85,0,N$289)/OFFSET(Tracks!$L$8,0,N$289)-1)),0)</f>
        <v>0</v>
      </c>
    </row>
    <row r="357" spans="1:14" s="73" customFormat="1" x14ac:dyDescent="0.2">
      <c r="A357" s="28" t="s">
        <v>737</v>
      </c>
      <c r="B357"/>
      <c r="C357" s="72"/>
      <c r="D357" s="124"/>
      <c r="E357" s="124"/>
      <c r="F357" s="124"/>
      <c r="G357" s="124"/>
      <c r="H357" s="124"/>
      <c r="I357" s="124"/>
      <c r="J357" s="36">
        <f ca="1">IF($L$1="Yes",IF(OFFSET(Tracks!$L$9,0,J$289)=0,(Data!I$171/Data!I$200)*OFFSET('Forecast Adjuster'!$L$86,0,J$289),Data!I$171*(OFFSET('Forecast Adjuster'!$L$86,0,J$289)/OFFSET(Tracks!$L$9,0,J$289)-1)),0)</f>
        <v>0</v>
      </c>
      <c r="K357" s="36">
        <f ca="1">IF($L$1="Yes",IF(OFFSET(Tracks!$L$9,0,K$289)=0,(Data!J$171/Data!J$200)*OFFSET('Forecast Adjuster'!$L$86,0,K$289),Data!J$171*(OFFSET('Forecast Adjuster'!$L$86,0,K$289)/OFFSET(Tracks!$L$9,0,K$289)-1)),0)</f>
        <v>0</v>
      </c>
      <c r="L357" s="36">
        <f ca="1">IF($L$1="Yes",IF(OFFSET(Tracks!$L$9,0,L$289)=0,(Data!K$171/Data!K$200)*OFFSET('Forecast Adjuster'!$L$86,0,L$289),Data!K$171*(OFFSET('Forecast Adjuster'!$L$86,0,L$289)/OFFSET(Tracks!$L$9,0,L$289)-1)),0)</f>
        <v>0</v>
      </c>
      <c r="M357" s="36">
        <f ca="1">IF($L$1="Yes",IF(OFFSET(Tracks!$L$9,0,M$289)=0,(Data!L$171/Data!L$200)*OFFSET('Forecast Adjuster'!$L$86,0,M$289),Data!L$171*(OFFSET('Forecast Adjuster'!$L$86,0,M$289)/OFFSET(Tracks!$L$9,0,M$289)-1)),0)</f>
        <v>0</v>
      </c>
      <c r="N357" s="36">
        <f ca="1">IF($L$1="Yes",IF(OFFSET(Tracks!$L$9,0,N$289)=0,(Data!M$171/Data!M$200)*OFFSET('Forecast Adjuster'!$L$86,0,N$289),Data!M$171*(OFFSET('Forecast Adjuster'!$L$86,0,N$289)/OFFSET(Tracks!$L$9,0,N$289)-1)),0)</f>
        <v>0</v>
      </c>
    </row>
    <row r="358" spans="1:14" s="73" customFormat="1" x14ac:dyDescent="0.2">
      <c r="A358" s="28" t="s">
        <v>738</v>
      </c>
      <c r="B358"/>
      <c r="C358" s="72"/>
      <c r="D358" s="124"/>
      <c r="E358" s="124"/>
      <c r="F358" s="124"/>
      <c r="G358" s="124"/>
      <c r="H358" s="124"/>
      <c r="I358" s="124"/>
      <c r="J358" s="36">
        <f ca="1">IF($L$1="Yes",IF(OFFSET(Tracks!$L$9,0,J$289)=0,(1-Data!I$171/Data!I$200)*OFFSET('Forecast Adjuster'!$L$86,0,J$289),(Data!I$200-Data!I$171)*(OFFSET('Forecast Adjuster'!$L$86,0,J$289)/OFFSET(Tracks!$L$9,0,J$289)-1)),0)</f>
        <v>0</v>
      </c>
      <c r="K358" s="36">
        <f ca="1">IF($L$1="Yes",IF(OFFSET(Tracks!$L$9,0,K$289)=0,(1-Data!J$171/Data!J$200)*OFFSET('Forecast Adjuster'!$L$86,0,K$289),(Data!J$200-Data!J$171)*(OFFSET('Forecast Adjuster'!$L$86,0,K$289)/OFFSET(Tracks!$L$9,0,K$289)-1)),0)</f>
        <v>0</v>
      </c>
      <c r="L358" s="36">
        <f ca="1">IF($L$1="Yes",IF(OFFSET(Tracks!$L$9,0,L$289)=0,(1-Data!K$171/Data!K$200)*OFFSET('Forecast Adjuster'!$L$86,0,L$289),(Data!K$200-Data!K$171)*(OFFSET('Forecast Adjuster'!$L$86,0,L$289)/OFFSET(Tracks!$L$9,0,L$289)-1)),0)</f>
        <v>0</v>
      </c>
      <c r="M358" s="36">
        <f ca="1">IF($L$1="Yes",IF(OFFSET(Tracks!$L$9,0,M$289)=0,(1-Data!L$171/Data!L$200)*OFFSET('Forecast Adjuster'!$L$86,0,M$289),(Data!L$200-Data!L$171)*(OFFSET('Forecast Adjuster'!$L$86,0,M$289)/OFFSET(Tracks!$L$9,0,M$289)-1)),0)</f>
        <v>0</v>
      </c>
      <c r="N358" s="36">
        <f ca="1">IF($L$1="Yes",IF(OFFSET(Tracks!$L$9,0,N$289)=0,(1-Data!M$171/Data!M$200)*OFFSET('Forecast Adjuster'!$L$86,0,N$289),(Data!M$200-Data!M$171)*(OFFSET('Forecast Adjuster'!$L$86,0,N$289)/OFFSET(Tracks!$L$9,0,N$289)-1)),0)</f>
        <v>0</v>
      </c>
    </row>
    <row r="359" spans="1:14" s="73" customFormat="1" x14ac:dyDescent="0.2">
      <c r="A359" s="197" t="s">
        <v>728</v>
      </c>
      <c r="B359"/>
      <c r="C359" s="72"/>
      <c r="D359" s="124"/>
      <c r="E359" s="124"/>
      <c r="F359" s="124"/>
      <c r="G359" s="124"/>
      <c r="H359" s="124"/>
      <c r="I359" s="124"/>
      <c r="J359" s="42">
        <f ca="1">SUM(J$357,J$358)-J$362</f>
        <v>0</v>
      </c>
      <c r="K359" s="42">
        <f ca="1">SUM(K$357,K$358)-K$362</f>
        <v>0</v>
      </c>
      <c r="L359" s="42">
        <f ca="1">SUM(L$357,L$358)-L$362</f>
        <v>0</v>
      </c>
      <c r="M359" s="42">
        <f ca="1">SUM(M$357,M$358)-M$362</f>
        <v>0</v>
      </c>
      <c r="N359" s="42">
        <f ca="1">SUM(N$357,N$358)-N$362</f>
        <v>0</v>
      </c>
    </row>
    <row r="360" spans="1:14" s="73" customFormat="1" x14ac:dyDescent="0.2">
      <c r="A360" s="28" t="s">
        <v>742</v>
      </c>
      <c r="B360"/>
      <c r="C360" s="72"/>
      <c r="D360" s="124"/>
      <c r="E360" s="124"/>
      <c r="F360" s="124"/>
      <c r="G360" s="124"/>
      <c r="H360" s="124"/>
      <c r="I360" s="124"/>
      <c r="J360" s="233">
        <f ca="1">SUM(J$357,J$358)-SUM(I$357,I$358)-SUM(J$348,J$349,-J$350)</f>
        <v>0</v>
      </c>
      <c r="K360" s="233">
        <f ca="1">SUM(K$357,K$358)-SUM(J$357,J$358)-SUM(K$348,K$349,-K$350)</f>
        <v>0</v>
      </c>
      <c r="L360" s="233">
        <f ca="1">SUM(L$357,L$358)-SUM(K$357,K$358)-SUM(L$348,L$349,-L$350)</f>
        <v>0</v>
      </c>
      <c r="M360" s="233">
        <f ca="1">SUM(M$357,M$358)-SUM(L$357,L$358)-SUM(M$348,M$349,-M$350)</f>
        <v>0</v>
      </c>
      <c r="N360" s="233">
        <f ca="1">SUM(N$357,N$358)-SUM(M$357,M$358)-SUM(N$348,N$349,-N$350)</f>
        <v>0</v>
      </c>
    </row>
    <row r="361" spans="1:14" s="73" customFormat="1" x14ac:dyDescent="0.2">
      <c r="A361" s="28" t="s">
        <v>743</v>
      </c>
      <c r="B361"/>
      <c r="C361" s="72"/>
      <c r="D361" s="124"/>
      <c r="E361" s="124"/>
      <c r="F361" s="124"/>
      <c r="G361" s="124"/>
      <c r="H361" s="124"/>
      <c r="I361" s="124"/>
      <c r="J361" s="233">
        <f ca="1">SUM(J$360,J$351:J$353)</f>
        <v>0</v>
      </c>
      <c r="K361" s="233">
        <f ca="1">SUM(K$360,K$351:K$353)</f>
        <v>0</v>
      </c>
      <c r="L361" s="233">
        <f ca="1">SUM(L$360,L$351:L$353)</f>
        <v>0</v>
      </c>
      <c r="M361" s="233">
        <f ca="1">SUM(M$360,M$351:M$353)</f>
        <v>0</v>
      </c>
      <c r="N361" s="233">
        <f ca="1">SUM(N$360,N$351:N$353)</f>
        <v>0</v>
      </c>
    </row>
    <row r="362" spans="1:14" s="73" customFormat="1" x14ac:dyDescent="0.2">
      <c r="A362" s="197" t="s">
        <v>727</v>
      </c>
      <c r="B362"/>
      <c r="C362" s="72"/>
      <c r="D362" s="124"/>
      <c r="E362" s="124"/>
      <c r="F362" s="124"/>
      <c r="G362" s="124"/>
      <c r="H362" s="124"/>
      <c r="I362" s="124"/>
      <c r="J362" s="42">
        <f ca="1">SUM($E$361:J$361)</f>
        <v>0</v>
      </c>
      <c r="K362" s="42">
        <f ca="1">SUM($E$361:K$361)</f>
        <v>0</v>
      </c>
      <c r="L362" s="42">
        <f ca="1">SUM($E$361:L$361)</f>
        <v>0</v>
      </c>
      <c r="M362" s="42">
        <f ca="1">SUM($E$361:M$361)</f>
        <v>0</v>
      </c>
      <c r="N362" s="42">
        <f ca="1">SUM($E$361:N$361)</f>
        <v>0</v>
      </c>
    </row>
    <row r="363" spans="1:14" s="73" customFormat="1" x14ac:dyDescent="0.2">
      <c r="A363" s="197" t="s">
        <v>740</v>
      </c>
      <c r="B363"/>
      <c r="C363" s="72"/>
      <c r="D363" s="124"/>
      <c r="E363" s="124"/>
      <c r="F363" s="124"/>
      <c r="G363" s="124"/>
      <c r="H363" s="124"/>
      <c r="I363" s="124"/>
      <c r="J363" s="42">
        <f ca="1">J$362-J$357</f>
        <v>0</v>
      </c>
      <c r="K363" s="42">
        <f ca="1">K$362-K$357</f>
        <v>0</v>
      </c>
      <c r="L363" s="42">
        <f ca="1">L$362-L$357</f>
        <v>0</v>
      </c>
      <c r="M363" s="42">
        <f ca="1">M$362-M$357</f>
        <v>0</v>
      </c>
      <c r="N363" s="42">
        <f ca="1">N$362-N$357</f>
        <v>0</v>
      </c>
    </row>
    <row r="364" spans="1:14" s="73" customFormat="1" ht="13.5" x14ac:dyDescent="0.25">
      <c r="A364" s="198"/>
      <c r="B364"/>
      <c r="C364" s="72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</row>
    <row r="365" spans="1:14" s="73" customFormat="1" x14ac:dyDescent="0.2">
      <c r="A365" s="197" t="s">
        <v>1011</v>
      </c>
      <c r="B365"/>
      <c r="C365" s="72"/>
      <c r="D365" s="124"/>
      <c r="E365" s="124"/>
      <c r="F365" s="124"/>
      <c r="G365" s="124"/>
      <c r="H365" s="124"/>
      <c r="I365" s="124"/>
      <c r="J365" s="42">
        <f ca="1">SUM(J$297,J$298,J$321,J$340,J$354)</f>
        <v>0</v>
      </c>
      <c r="K365" s="42">
        <f ca="1">SUM(K$297,K$298,K$321,K$340,K$354)</f>
        <v>0</v>
      </c>
      <c r="L365" s="42">
        <f ca="1">SUM(L$297,L$298,L$321,L$340,L$354)</f>
        <v>0</v>
      </c>
      <c r="M365" s="42">
        <f ca="1">SUM(M$297,M$298,M$321,M$340,M$354)</f>
        <v>0</v>
      </c>
      <c r="N365" s="42">
        <f ca="1">SUM(N$297,N$298,N$321,N$340,N$354)</f>
        <v>0</v>
      </c>
    </row>
    <row r="366" spans="1:14" s="73" customFormat="1" ht="13.5" x14ac:dyDescent="0.25">
      <c r="A366" s="198" t="s">
        <v>115</v>
      </c>
      <c r="B366"/>
      <c r="C366" s="72"/>
      <c r="D366" s="124"/>
      <c r="E366" s="124"/>
      <c r="F366" s="124"/>
      <c r="G366" s="124"/>
      <c r="H366" s="124"/>
      <c r="I366" s="124"/>
      <c r="J366" s="129" t="str">
        <f ca="1">IF(ROUND(Data!I$17-(J$15-J$365),3)=0,"OK","ERROR")</f>
        <v>OK</v>
      </c>
      <c r="K366" s="129" t="str">
        <f ca="1">IF(ROUND(Data!J$17-(K$15-K$365),3)=0,"OK","ERROR")</f>
        <v>OK</v>
      </c>
      <c r="L366" s="129" t="str">
        <f ca="1">IF(ROUND(Data!K$17-(L$15-L$365),3)=0,"OK","ERROR")</f>
        <v>OK</v>
      </c>
      <c r="M366" s="129" t="str">
        <f ca="1">IF(ROUND(Data!L$17-(M$15-M$365),3)=0,"OK","ERROR")</f>
        <v>OK</v>
      </c>
      <c r="N366" s="129" t="str">
        <f ca="1">IF(ROUND(Data!M$17-(N$15-N$365),3)=0,"OK","ERROR")</f>
        <v>OK</v>
      </c>
    </row>
    <row r="367" spans="1:14" s="73" customFormat="1" x14ac:dyDescent="0.2">
      <c r="A367" s="197" t="s">
        <v>1012</v>
      </c>
      <c r="B367"/>
      <c r="C367" s="72"/>
      <c r="D367" s="124"/>
      <c r="E367" s="124"/>
      <c r="F367" s="124"/>
      <c r="G367" s="124"/>
      <c r="H367" s="124"/>
      <c r="I367" s="124"/>
      <c r="J367" s="42">
        <f ca="1">SUM(J$331,J$344,J$362)</f>
        <v>0</v>
      </c>
      <c r="K367" s="42">
        <f ca="1">SUM(K$331,K$344,K$362)</f>
        <v>0</v>
      </c>
      <c r="L367" s="42">
        <f ca="1">SUM(L$331,L$344,L$362)</f>
        <v>0</v>
      </c>
      <c r="M367" s="42">
        <f ca="1">SUM(M$331,M$344,M$362)</f>
        <v>0</v>
      </c>
      <c r="N367" s="42">
        <f ca="1">SUM(N$331,N$344,N$362)</f>
        <v>0</v>
      </c>
    </row>
    <row r="368" spans="1:14" s="73" customFormat="1" ht="13.5" x14ac:dyDescent="0.25">
      <c r="A368" s="198" t="s">
        <v>115</v>
      </c>
      <c r="B368"/>
      <c r="C368" s="72"/>
      <c r="D368" s="124"/>
      <c r="E368" s="124"/>
      <c r="F368" s="124"/>
      <c r="G368" s="124"/>
      <c r="H368" s="124"/>
      <c r="I368" s="124"/>
      <c r="J368" s="129" t="str">
        <f ca="1">IF(ROUND(Data!I$74-(J$29-J$367),3)=0,"OK","ERROR")</f>
        <v>OK</v>
      </c>
      <c r="K368" s="129" t="str">
        <f ca="1">IF(ROUND(Data!J$74-(K$29-K$367),3)=0,"OK","ERROR")</f>
        <v>OK</v>
      </c>
      <c r="L368" s="129" t="str">
        <f ca="1">IF(ROUND(Data!K$74-(L$29-L$367),3)=0,"OK","ERROR")</f>
        <v>OK</v>
      </c>
      <c r="M368" s="129" t="str">
        <f ca="1">IF(ROUND(Data!L$74-(M$29-M$367),3)=0,"OK","ERROR")</f>
        <v>OK</v>
      </c>
      <c r="N368" s="129" t="str">
        <f ca="1">IF(ROUND(Data!M$74-(N$29-N$367),3)=0,"OK","ERROR")</f>
        <v>OK</v>
      </c>
    </row>
    <row r="369" spans="1:14" s="73" customFormat="1" x14ac:dyDescent="0.2">
      <c r="A369" s="197" t="s">
        <v>1013</v>
      </c>
      <c r="B369"/>
      <c r="C369" s="72"/>
      <c r="D369" s="124"/>
      <c r="E369" s="124"/>
      <c r="F369" s="124"/>
      <c r="G369" s="124"/>
      <c r="H369" s="124"/>
      <c r="I369" s="124"/>
      <c r="J369" s="42">
        <f ca="1">SUM(J$323,J$324,J$327,J$341,J$359)</f>
        <v>0</v>
      </c>
      <c r="K369" s="42">
        <f ca="1">SUM(K$323,K$324,K$327,K$341,K$359)</f>
        <v>0</v>
      </c>
      <c r="L369" s="42">
        <f ca="1">SUM(L$323,L$324,L$327,L$341,L$359)</f>
        <v>0</v>
      </c>
      <c r="M369" s="42">
        <f ca="1">SUM(M$323,M$324,M$327,M$341,M$359)</f>
        <v>0</v>
      </c>
      <c r="N369" s="42">
        <f ca="1">SUM(N$323,N$324,N$327,N$341,N$359)</f>
        <v>0</v>
      </c>
    </row>
    <row r="370" spans="1:14" s="73" customFormat="1" ht="13.5" x14ac:dyDescent="0.25">
      <c r="A370" s="198" t="s">
        <v>115</v>
      </c>
      <c r="B370"/>
      <c r="C370" s="72"/>
      <c r="D370" s="124"/>
      <c r="E370" s="124"/>
      <c r="F370" s="124"/>
      <c r="G370" s="124"/>
      <c r="H370" s="124"/>
      <c r="I370" s="124"/>
      <c r="J370" s="129" t="str">
        <f ca="1">IF(ROUND(Data!I$79-(J$31-J$369),3)=0,"OK","ERROR")</f>
        <v>OK</v>
      </c>
      <c r="K370" s="129" t="str">
        <f ca="1">IF(ROUND(Data!J$79-(K$31-K$369),3)=0,"OK","ERROR")</f>
        <v>OK</v>
      </c>
      <c r="L370" s="129" t="str">
        <f ca="1">IF(ROUND(Data!K$79-(L$31-L$369),3)=0,"OK","ERROR")</f>
        <v>OK</v>
      </c>
      <c r="M370" s="129" t="str">
        <f ca="1">IF(ROUND(Data!L$79-(M$31-M$369),3)=0,"OK","ERROR")</f>
        <v>OK</v>
      </c>
      <c r="N370" s="129" t="str">
        <f ca="1">IF(ROUND(Data!M$79-(N$31-N$369),3)=0,"OK","ERROR")</f>
        <v>OK</v>
      </c>
    </row>
    <row r="371" spans="1:14" s="73" customFormat="1" x14ac:dyDescent="0.2">
      <c r="A371" s="197" t="s">
        <v>1014</v>
      </c>
      <c r="B371"/>
      <c r="C371" s="72"/>
      <c r="D371" s="124"/>
      <c r="E371" s="124"/>
      <c r="F371" s="124"/>
      <c r="G371" s="124"/>
      <c r="H371" s="124"/>
      <c r="I371" s="124"/>
      <c r="J371" s="42">
        <f ca="1">SUM(J$332,J$345,J$363,J$357)</f>
        <v>0</v>
      </c>
      <c r="K371" s="42">
        <f ca="1">SUM(K$332,K$345,K$363,K$357)</f>
        <v>0</v>
      </c>
      <c r="L371" s="42">
        <f ca="1">SUM(L$332,L$345,L$363,L$357)</f>
        <v>0</v>
      </c>
      <c r="M371" s="42">
        <f ca="1">SUM(M$332,M$345,M$363,M$357)</f>
        <v>0</v>
      </c>
      <c r="N371" s="42">
        <f ca="1">SUM(N$332,N$345,N$363,N$357)</f>
        <v>0</v>
      </c>
    </row>
    <row r="372" spans="1:14" s="73" customFormat="1" ht="13.5" x14ac:dyDescent="0.25">
      <c r="A372" s="198" t="s">
        <v>115</v>
      </c>
      <c r="B372"/>
      <c r="C372" s="72"/>
      <c r="D372" s="124"/>
      <c r="E372" s="124"/>
      <c r="F372" s="124"/>
      <c r="G372" s="124"/>
      <c r="H372" s="124"/>
      <c r="I372" s="124"/>
      <c r="J372" s="129" t="str">
        <f ca="1">IF(ROUND(Data!I$93-(J$39-J$371),3)=0,"OK","ERROR")</f>
        <v>OK</v>
      </c>
      <c r="K372" s="129" t="str">
        <f ca="1">IF(ROUND(Data!J$93-(K$39-K$371),3)=0,"OK","ERROR")</f>
        <v>OK</v>
      </c>
      <c r="L372" s="129" t="str">
        <f ca="1">IF(ROUND(Data!K$93-(L$39-L$371),3)=0,"OK","ERROR")</f>
        <v>OK</v>
      </c>
      <c r="M372" s="129" t="str">
        <f ca="1">IF(ROUND(Data!L$93-(M$39-M$371),3)=0,"OK","ERROR")</f>
        <v>OK</v>
      </c>
      <c r="N372" s="129" t="str">
        <f ca="1">IF(ROUND(Data!M$93-(N$39-N$371),3)=0,"OK","ERROR")</f>
        <v>OK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0257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0</xdr:rowOff>
                  </from>
                  <to>
                    <xdr:col>0</xdr:col>
                    <xdr:colOff>4714875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D23" sqref="D23"/>
    </sheetView>
  </sheetViews>
  <sheetFormatPr defaultRowHeight="12.75" x14ac:dyDescent="0.2"/>
  <cols>
    <col min="1" max="1" width="36.7109375" style="299" customWidth="1"/>
    <col min="2" max="16384" width="9.140625" style="296"/>
  </cols>
  <sheetData>
    <row r="1" spans="1:13" ht="21.95" customHeight="1" x14ac:dyDescent="0.35">
      <c r="A1" s="293" t="s">
        <v>1060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95"/>
    </row>
    <row r="2" spans="1:13" x14ac:dyDescent="0.2">
      <c r="A2" s="297" t="s">
        <v>274</v>
      </c>
      <c r="B2" s="295" t="s">
        <v>1061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x14ac:dyDescent="0.2">
      <c r="A3" s="295" t="s">
        <v>498</v>
      </c>
      <c r="B3" s="295" t="s">
        <v>1062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x14ac:dyDescent="0.2">
      <c r="A4" s="295" t="s">
        <v>499</v>
      </c>
      <c r="B4" s="295" t="s">
        <v>1062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x14ac:dyDescent="0.2">
      <c r="A5" s="295" t="s">
        <v>945</v>
      </c>
      <c r="B5" s="295" t="s">
        <v>949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x14ac:dyDescent="0.2">
      <c r="A6" s="295"/>
      <c r="B6" s="295" t="s">
        <v>950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 x14ac:dyDescent="0.2">
      <c r="A7" s="295" t="s">
        <v>946</v>
      </c>
      <c r="B7" s="295" t="s">
        <v>1065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1:13" x14ac:dyDescent="0.2">
      <c r="A8" s="295" t="s">
        <v>947</v>
      </c>
      <c r="B8" s="295" t="s">
        <v>948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</row>
    <row r="9" spans="1:13" x14ac:dyDescent="0.2">
      <c r="A9" s="295"/>
      <c r="B9" s="295" t="s">
        <v>951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</row>
    <row r="10" spans="1:13" x14ac:dyDescent="0.2">
      <c r="A10" s="295" t="s">
        <v>500</v>
      </c>
      <c r="B10" s="295" t="s">
        <v>1066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x14ac:dyDescent="0.2">
      <c r="A11" s="295"/>
      <c r="B11" s="295" t="s">
        <v>791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  <row r="12" spans="1:13" x14ac:dyDescent="0.2">
      <c r="A12" s="295" t="s">
        <v>501</v>
      </c>
      <c r="B12" s="295" t="s">
        <v>1067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x14ac:dyDescent="0.2">
      <c r="A13" s="295" t="s">
        <v>502</v>
      </c>
      <c r="B13" s="295" t="s">
        <v>1079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x14ac:dyDescent="0.2">
      <c r="A14" s="295" t="s">
        <v>503</v>
      </c>
      <c r="B14" s="295" t="s">
        <v>1069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x14ac:dyDescent="0.2">
      <c r="A15" s="295" t="s">
        <v>165</v>
      </c>
      <c r="B15" s="295" t="s">
        <v>1070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x14ac:dyDescent="0.2">
      <c r="A16" s="295" t="s">
        <v>401</v>
      </c>
      <c r="B16" s="295" t="s">
        <v>799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20" x14ac:dyDescent="0.2">
      <c r="A17" s="295" t="s">
        <v>504</v>
      </c>
      <c r="B17" s="295" t="s">
        <v>872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</row>
    <row r="18" spans="1:20" x14ac:dyDescent="0.2">
      <c r="A18" s="295" t="s">
        <v>936</v>
      </c>
      <c r="B18" s="295" t="s">
        <v>1071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</row>
    <row r="19" spans="1:20" x14ac:dyDescent="0.2">
      <c r="A19" s="295"/>
      <c r="B19" s="295" t="s">
        <v>937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20" x14ac:dyDescent="0.2">
      <c r="A20" s="295" t="s">
        <v>215</v>
      </c>
      <c r="B20" s="295" t="s">
        <v>960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</row>
    <row r="21" spans="1:20" x14ac:dyDescent="0.2">
      <c r="A21" s="295" t="s">
        <v>216</v>
      </c>
      <c r="B21" s="295" t="s">
        <v>961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20" x14ac:dyDescent="0.2">
      <c r="A22" s="295" t="s">
        <v>217</v>
      </c>
      <c r="B22" s="295" t="s">
        <v>110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</row>
    <row r="23" spans="1:20" x14ac:dyDescent="0.2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20" x14ac:dyDescent="0.2">
      <c r="A24" s="297" t="s">
        <v>164</v>
      </c>
      <c r="B24" s="298" t="str">
        <f>CONCATENATE("Values below are for initial projected fiscal year, ",$B$22,". All can be altered using the Scenarios worksheet.")</f>
        <v>Values below are for initial projected fiscal year, 2017/18. All can be altered using the Scenarios worksheet.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5" spans="1:20" x14ac:dyDescent="0.2">
      <c r="A25" s="295" t="s">
        <v>359</v>
      </c>
      <c r="B25" s="295" t="s">
        <v>1072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</row>
    <row r="26" spans="1:20" x14ac:dyDescent="0.2">
      <c r="A26" s="295" t="s">
        <v>156</v>
      </c>
      <c r="B26" s="295" t="s">
        <v>962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</row>
    <row r="27" spans="1:20" x14ac:dyDescent="0.2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</row>
    <row r="28" spans="1:20" x14ac:dyDescent="0.2">
      <c r="A28" s="295" t="s">
        <v>792</v>
      </c>
      <c r="B28" s="295" t="s">
        <v>793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5"/>
  <sheetViews>
    <sheetView workbookViewId="0">
      <pane xSplit="2" ySplit="2" topLeftCell="C3" activePane="bottomRight" state="frozen"/>
      <selection activeCell="G3" sqref="G3"/>
      <selection pane="topRight" activeCell="G3" sqref="G3"/>
      <selection pane="bottomLeft" activeCell="G3" sqref="G3"/>
      <selection pane="bottomRight" activeCell="X4" sqref="X4"/>
    </sheetView>
  </sheetViews>
  <sheetFormatPr defaultColWidth="8.85546875" defaultRowHeight="12.75" x14ac:dyDescent="0.2"/>
  <cols>
    <col min="1" max="1" width="40.7109375" style="259" customWidth="1"/>
    <col min="2" max="2" width="10.7109375" style="259" customWidth="1"/>
    <col min="3" max="58" width="8.7109375" style="259" customWidth="1"/>
    <col min="59" max="16384" width="8.85546875" style="259"/>
  </cols>
  <sheetData>
    <row r="1" spans="1:58" ht="18.75" x14ac:dyDescent="0.3">
      <c r="A1" s="300" t="s">
        <v>942</v>
      </c>
    </row>
    <row r="2" spans="1:58" x14ac:dyDescent="0.2">
      <c r="C2" s="301" t="s">
        <v>441</v>
      </c>
      <c r="D2" s="301" t="s">
        <v>442</v>
      </c>
      <c r="E2" s="301" t="s">
        <v>443</v>
      </c>
      <c r="F2" s="301" t="s">
        <v>444</v>
      </c>
      <c r="G2" s="301" t="s">
        <v>445</v>
      </c>
      <c r="H2" s="301" t="s">
        <v>446</v>
      </c>
      <c r="I2" s="301" t="s">
        <v>447</v>
      </c>
      <c r="J2" s="301" t="s">
        <v>448</v>
      </c>
      <c r="K2" s="301" t="s">
        <v>449</v>
      </c>
      <c r="L2" s="301" t="s">
        <v>450</v>
      </c>
      <c r="M2" s="301" t="s">
        <v>451</v>
      </c>
      <c r="N2" s="301" t="s">
        <v>452</v>
      </c>
      <c r="O2" s="301" t="s">
        <v>453</v>
      </c>
      <c r="P2" s="301" t="s">
        <v>454</v>
      </c>
      <c r="Q2" s="301" t="s">
        <v>455</v>
      </c>
      <c r="R2" s="301" t="s">
        <v>456</v>
      </c>
      <c r="S2" s="301" t="s">
        <v>457</v>
      </c>
      <c r="T2" s="301" t="s">
        <v>458</v>
      </c>
      <c r="U2" s="301" t="s">
        <v>459</v>
      </c>
      <c r="V2" s="301" t="s">
        <v>460</v>
      </c>
      <c r="W2" s="301" t="s">
        <v>461</v>
      </c>
      <c r="X2" s="301" t="s">
        <v>462</v>
      </c>
      <c r="Y2" s="301" t="s">
        <v>463</v>
      </c>
      <c r="Z2" s="301" t="s">
        <v>464</v>
      </c>
      <c r="AA2" s="301" t="s">
        <v>465</v>
      </c>
      <c r="AB2" s="301" t="s">
        <v>466</v>
      </c>
      <c r="AC2" s="301" t="s">
        <v>467</v>
      </c>
      <c r="AD2" s="301" t="s">
        <v>468</v>
      </c>
      <c r="AE2" s="301" t="s">
        <v>469</v>
      </c>
      <c r="AF2" s="301" t="s">
        <v>470</v>
      </c>
      <c r="AG2" s="301" t="s">
        <v>471</v>
      </c>
      <c r="AH2" s="301" t="s">
        <v>472</v>
      </c>
      <c r="AI2" s="301" t="s">
        <v>473</v>
      </c>
      <c r="AJ2" s="301" t="s">
        <v>474</v>
      </c>
      <c r="AK2" s="301" t="s">
        <v>475</v>
      </c>
      <c r="AL2" s="301" t="s">
        <v>476</v>
      </c>
      <c r="AM2" s="301" t="s">
        <v>477</v>
      </c>
      <c r="AN2" s="301" t="s">
        <v>478</v>
      </c>
      <c r="AO2" s="301" t="s">
        <v>479</v>
      </c>
      <c r="AP2" s="301" t="s">
        <v>480</v>
      </c>
      <c r="AQ2" s="301" t="s">
        <v>481</v>
      </c>
      <c r="AR2" s="301" t="s">
        <v>482</v>
      </c>
      <c r="AS2" s="301" t="s">
        <v>483</v>
      </c>
      <c r="AT2" s="301" t="s">
        <v>484</v>
      </c>
      <c r="AU2" s="301" t="s">
        <v>485</v>
      </c>
      <c r="AV2" s="301" t="s">
        <v>486</v>
      </c>
      <c r="AW2" s="301" t="s">
        <v>487</v>
      </c>
      <c r="AX2" s="301" t="s">
        <v>488</v>
      </c>
      <c r="AY2" s="301" t="s">
        <v>489</v>
      </c>
      <c r="AZ2" s="301" t="s">
        <v>491</v>
      </c>
      <c r="BA2" s="301" t="s">
        <v>492</v>
      </c>
      <c r="BB2" s="301" t="s">
        <v>493</v>
      </c>
      <c r="BC2" s="301" t="s">
        <v>494</v>
      </c>
      <c r="BD2" s="301" t="s">
        <v>495</v>
      </c>
      <c r="BE2" s="301" t="s">
        <v>496</v>
      </c>
      <c r="BF2" s="301" t="s">
        <v>497</v>
      </c>
    </row>
    <row r="4" spans="1:58" ht="18.75" x14ac:dyDescent="0.3">
      <c r="A4" s="300" t="s">
        <v>377</v>
      </c>
    </row>
    <row r="5" spans="1:58" ht="15.75" x14ac:dyDescent="0.25">
      <c r="A5" s="302" t="s">
        <v>943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</row>
    <row r="6" spans="1:58" x14ac:dyDescent="0.2">
      <c r="A6" s="304" t="s">
        <v>99</v>
      </c>
      <c r="B6" s="305"/>
      <c r="C6" s="306">
        <f t="shared" ref="C6:BF6" si="0">SUM(C$9:C$99,C$103:C$193)/1000000</f>
        <v>4.1846300000000003</v>
      </c>
      <c r="D6" s="306">
        <f t="shared" si="0"/>
        <v>4.2282799999999998</v>
      </c>
      <c r="E6" s="306">
        <f t="shared" si="0"/>
        <v>4.2688800000000002</v>
      </c>
      <c r="F6" s="306">
        <f t="shared" si="0"/>
        <v>4.3157899999999998</v>
      </c>
      <c r="G6" s="306">
        <f t="shared" si="0"/>
        <v>4.36782</v>
      </c>
      <c r="H6" s="306">
        <f t="shared" si="0"/>
        <v>4.4050799999999999</v>
      </c>
      <c r="I6" s="306">
        <f t="shared" si="0"/>
        <v>4.4333299999999998</v>
      </c>
      <c r="J6" s="306">
        <f t="shared" si="0"/>
        <v>4.4640599999999999</v>
      </c>
      <c r="K6" s="306">
        <f t="shared" si="0"/>
        <v>4.5015000000000001</v>
      </c>
      <c r="L6" s="306">
        <f t="shared" si="0"/>
        <v>4.5438900000000002</v>
      </c>
      <c r="M6" s="306">
        <f t="shared" si="0"/>
        <v>4.5861900000000002</v>
      </c>
      <c r="N6" s="306">
        <f t="shared" si="0"/>
        <v>4.6284999999999998</v>
      </c>
      <c r="O6" s="306">
        <f t="shared" si="0"/>
        <v>4.6709899999999998</v>
      </c>
      <c r="P6" s="306">
        <f t="shared" si="0"/>
        <v>4.7134499999999999</v>
      </c>
      <c r="Q6" s="306">
        <f t="shared" si="0"/>
        <v>4.7558100000000003</v>
      </c>
      <c r="R6" s="306">
        <f t="shared" si="0"/>
        <v>4.7980099999999997</v>
      </c>
      <c r="S6" s="306">
        <f t="shared" si="0"/>
        <v>4.8400299999999996</v>
      </c>
      <c r="T6" s="306">
        <f t="shared" si="0"/>
        <v>4.8817899999999996</v>
      </c>
      <c r="U6" s="306">
        <f t="shared" si="0"/>
        <v>4.9232300000000002</v>
      </c>
      <c r="V6" s="306">
        <f t="shared" si="0"/>
        <v>4.9640899999999997</v>
      </c>
      <c r="W6" s="306">
        <f t="shared" si="0"/>
        <v>5.0044500000000003</v>
      </c>
      <c r="X6" s="306">
        <f t="shared" si="0"/>
        <v>5.0441099999999999</v>
      </c>
      <c r="Y6" s="306">
        <f t="shared" si="0"/>
        <v>5.0830099999999998</v>
      </c>
      <c r="Z6" s="306">
        <f t="shared" si="0"/>
        <v>5.1210699999999996</v>
      </c>
      <c r="AA6" s="306">
        <f t="shared" si="0"/>
        <v>5.1583399999999999</v>
      </c>
      <c r="AB6" s="306">
        <f t="shared" si="0"/>
        <v>5.1945399999999999</v>
      </c>
      <c r="AC6" s="306">
        <f t="shared" si="0"/>
        <v>5.2298400000000003</v>
      </c>
      <c r="AD6" s="306">
        <f t="shared" si="0"/>
        <v>5.2641900000000001</v>
      </c>
      <c r="AE6" s="306">
        <f t="shared" si="0"/>
        <v>5.2977600000000002</v>
      </c>
      <c r="AF6" s="306">
        <f t="shared" si="0"/>
        <v>5.3303399999999996</v>
      </c>
      <c r="AG6" s="306">
        <f t="shared" si="0"/>
        <v>5.3621600000000003</v>
      </c>
      <c r="AH6" s="306">
        <f t="shared" si="0"/>
        <v>5.3933099999999996</v>
      </c>
      <c r="AI6" s="306">
        <f t="shared" si="0"/>
        <v>5.4237599999999997</v>
      </c>
      <c r="AJ6" s="306">
        <f t="shared" si="0"/>
        <v>5.4535299999999998</v>
      </c>
      <c r="AK6" s="306">
        <f t="shared" si="0"/>
        <v>5.48271</v>
      </c>
      <c r="AL6" s="306">
        <f t="shared" si="0"/>
        <v>5.5113399999999997</v>
      </c>
      <c r="AM6" s="306">
        <f t="shared" si="0"/>
        <v>5.5393400000000002</v>
      </c>
      <c r="AN6" s="306">
        <f t="shared" si="0"/>
        <v>5.5668499999999996</v>
      </c>
      <c r="AO6" s="306">
        <f t="shared" si="0"/>
        <v>5.59368</v>
      </c>
      <c r="AP6" s="306">
        <f t="shared" si="0"/>
        <v>5.6200599999999996</v>
      </c>
      <c r="AQ6" s="306">
        <f t="shared" si="0"/>
        <v>5.6458000000000004</v>
      </c>
      <c r="AR6" s="306">
        <f t="shared" si="0"/>
        <v>5.6710799999999999</v>
      </c>
      <c r="AS6" s="306">
        <f t="shared" si="0"/>
        <v>5.6957300000000002</v>
      </c>
      <c r="AT6" s="306">
        <f t="shared" si="0"/>
        <v>5.7200499999999996</v>
      </c>
      <c r="AU6" s="306">
        <f t="shared" si="0"/>
        <v>5.7439</v>
      </c>
      <c r="AV6" s="306">
        <f t="shared" si="0"/>
        <v>5.7674099999999999</v>
      </c>
      <c r="AW6" s="306">
        <f t="shared" si="0"/>
        <v>5.7906399999999998</v>
      </c>
      <c r="AX6" s="306">
        <f t="shared" si="0"/>
        <v>5.8135500000000002</v>
      </c>
      <c r="AY6" s="306">
        <f t="shared" si="0"/>
        <v>5.8362800000000004</v>
      </c>
      <c r="AZ6" s="306">
        <f t="shared" si="0"/>
        <v>5.8589599999999997</v>
      </c>
      <c r="BA6" s="306">
        <f t="shared" si="0"/>
        <v>5.8815600000000003</v>
      </c>
      <c r="BB6" s="306">
        <f t="shared" si="0"/>
        <v>5.9040499999999998</v>
      </c>
      <c r="BC6" s="306">
        <f t="shared" si="0"/>
        <v>5.9266899999999998</v>
      </c>
      <c r="BD6" s="306">
        <f t="shared" si="0"/>
        <v>5.9492599999999998</v>
      </c>
      <c r="BE6" s="306">
        <f t="shared" si="0"/>
        <v>5.9720300000000002</v>
      </c>
      <c r="BF6" s="306">
        <f t="shared" si="0"/>
        <v>5.9948600000000001</v>
      </c>
    </row>
    <row r="7" spans="1:58" x14ac:dyDescent="0.2">
      <c r="A7" s="304"/>
      <c r="B7" s="305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</row>
    <row r="8" spans="1:58" x14ac:dyDescent="0.2">
      <c r="A8" s="304" t="s">
        <v>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</row>
    <row r="9" spans="1:58" x14ac:dyDescent="0.2">
      <c r="A9" s="308" t="s">
        <v>5</v>
      </c>
      <c r="B9" s="305"/>
      <c r="C9" s="307">
        <v>30150</v>
      </c>
      <c r="D9" s="307">
        <v>31680</v>
      </c>
      <c r="E9" s="307">
        <v>32930</v>
      </c>
      <c r="F9" s="307">
        <v>32630</v>
      </c>
      <c r="G9" s="307">
        <v>32590</v>
      </c>
      <c r="H9" s="307">
        <v>32000</v>
      </c>
      <c r="I9" s="307">
        <v>31120</v>
      </c>
      <c r="J9" s="307">
        <v>31040</v>
      </c>
      <c r="K9" s="307">
        <v>31090</v>
      </c>
      <c r="L9" s="307">
        <v>31230</v>
      </c>
      <c r="M9" s="307">
        <v>31410</v>
      </c>
      <c r="N9" s="307">
        <v>31610</v>
      </c>
      <c r="O9" s="307">
        <v>31800</v>
      </c>
      <c r="P9" s="307">
        <v>31990</v>
      </c>
      <c r="Q9" s="307">
        <v>32160</v>
      </c>
      <c r="R9" s="307">
        <v>32310</v>
      </c>
      <c r="S9" s="307">
        <v>32420</v>
      </c>
      <c r="T9" s="307">
        <v>32510</v>
      </c>
      <c r="U9" s="307">
        <v>32570</v>
      </c>
      <c r="V9" s="307">
        <v>32590</v>
      </c>
      <c r="W9" s="307">
        <v>32590</v>
      </c>
      <c r="X9" s="307">
        <v>32560</v>
      </c>
      <c r="Y9" s="307">
        <v>32510</v>
      </c>
      <c r="Z9" s="307">
        <v>32440</v>
      </c>
      <c r="AA9" s="307">
        <v>32350</v>
      </c>
      <c r="AB9" s="307">
        <v>32260</v>
      </c>
      <c r="AC9" s="307">
        <v>32180</v>
      </c>
      <c r="AD9" s="307">
        <v>32120</v>
      </c>
      <c r="AE9" s="307">
        <v>32070</v>
      </c>
      <c r="AF9" s="307">
        <v>32070</v>
      </c>
      <c r="AG9" s="307">
        <v>32100</v>
      </c>
      <c r="AH9" s="307">
        <v>32160</v>
      </c>
      <c r="AI9" s="307">
        <v>32250</v>
      </c>
      <c r="AJ9" s="307">
        <v>32340</v>
      </c>
      <c r="AK9" s="307">
        <v>32450</v>
      </c>
      <c r="AL9" s="307">
        <v>32550</v>
      </c>
      <c r="AM9" s="307">
        <v>32650</v>
      </c>
      <c r="AN9" s="307">
        <v>32730</v>
      </c>
      <c r="AO9" s="307">
        <v>32810</v>
      </c>
      <c r="AP9" s="307">
        <v>32890</v>
      </c>
      <c r="AQ9" s="307">
        <v>32950</v>
      </c>
      <c r="AR9" s="307">
        <v>33020</v>
      </c>
      <c r="AS9" s="307">
        <v>33080</v>
      </c>
      <c r="AT9" s="307">
        <v>33140</v>
      </c>
      <c r="AU9" s="307">
        <v>33200</v>
      </c>
      <c r="AV9" s="307">
        <v>33260</v>
      </c>
      <c r="AW9" s="307">
        <v>33310</v>
      </c>
      <c r="AX9" s="307">
        <v>33370</v>
      </c>
      <c r="AY9" s="307">
        <v>33420</v>
      </c>
      <c r="AZ9" s="307">
        <v>33460</v>
      </c>
      <c r="BA9" s="307">
        <v>33510</v>
      </c>
      <c r="BB9" s="307">
        <v>33540</v>
      </c>
      <c r="BC9" s="307">
        <v>33570</v>
      </c>
      <c r="BD9" s="307">
        <v>33590</v>
      </c>
      <c r="BE9" s="307">
        <v>33610</v>
      </c>
      <c r="BF9" s="307">
        <v>33620</v>
      </c>
    </row>
    <row r="10" spans="1:58" x14ac:dyDescent="0.2">
      <c r="A10" s="308" t="s">
        <v>6</v>
      </c>
      <c r="B10" s="305"/>
      <c r="C10" s="307">
        <v>29380</v>
      </c>
      <c r="D10" s="307">
        <v>30130</v>
      </c>
      <c r="E10" s="307">
        <v>31570</v>
      </c>
      <c r="F10" s="307">
        <v>32860</v>
      </c>
      <c r="G10" s="307">
        <v>32650</v>
      </c>
      <c r="H10" s="307">
        <v>32460</v>
      </c>
      <c r="I10" s="307">
        <v>31800</v>
      </c>
      <c r="J10" s="307">
        <v>30940</v>
      </c>
      <c r="K10" s="307">
        <v>30920</v>
      </c>
      <c r="L10" s="307">
        <v>31000</v>
      </c>
      <c r="M10" s="307">
        <v>31140</v>
      </c>
      <c r="N10" s="307">
        <v>31320</v>
      </c>
      <c r="O10" s="307">
        <v>31520</v>
      </c>
      <c r="P10" s="307">
        <v>31710</v>
      </c>
      <c r="Q10" s="307">
        <v>31900</v>
      </c>
      <c r="R10" s="307">
        <v>32070</v>
      </c>
      <c r="S10" s="307">
        <v>32220</v>
      </c>
      <c r="T10" s="307">
        <v>32340</v>
      </c>
      <c r="U10" s="307">
        <v>32430</v>
      </c>
      <c r="V10" s="307">
        <v>32480</v>
      </c>
      <c r="W10" s="307">
        <v>32510</v>
      </c>
      <c r="X10" s="307">
        <v>32510</v>
      </c>
      <c r="Y10" s="307">
        <v>32480</v>
      </c>
      <c r="Z10" s="307">
        <v>32430</v>
      </c>
      <c r="AA10" s="307">
        <v>32350</v>
      </c>
      <c r="AB10" s="307">
        <v>32270</v>
      </c>
      <c r="AC10" s="307">
        <v>32180</v>
      </c>
      <c r="AD10" s="307">
        <v>32100</v>
      </c>
      <c r="AE10" s="307">
        <v>32030</v>
      </c>
      <c r="AF10" s="307">
        <v>31990</v>
      </c>
      <c r="AG10" s="307">
        <v>31990</v>
      </c>
      <c r="AH10" s="307">
        <v>32020</v>
      </c>
      <c r="AI10" s="307">
        <v>32080</v>
      </c>
      <c r="AJ10" s="307">
        <v>32170</v>
      </c>
      <c r="AK10" s="307">
        <v>32260</v>
      </c>
      <c r="AL10" s="307">
        <v>32370</v>
      </c>
      <c r="AM10" s="307">
        <v>32470</v>
      </c>
      <c r="AN10" s="307">
        <v>32570</v>
      </c>
      <c r="AO10" s="307">
        <v>32660</v>
      </c>
      <c r="AP10" s="307">
        <v>32740</v>
      </c>
      <c r="AQ10" s="307">
        <v>32810</v>
      </c>
      <c r="AR10" s="307">
        <v>32880</v>
      </c>
      <c r="AS10" s="307">
        <v>32940</v>
      </c>
      <c r="AT10" s="307">
        <v>33000</v>
      </c>
      <c r="AU10" s="307">
        <v>33060</v>
      </c>
      <c r="AV10" s="307">
        <v>33120</v>
      </c>
      <c r="AW10" s="307">
        <v>33180</v>
      </c>
      <c r="AX10" s="307">
        <v>33240</v>
      </c>
      <c r="AY10" s="307">
        <v>33290</v>
      </c>
      <c r="AZ10" s="307">
        <v>33340</v>
      </c>
      <c r="BA10" s="307">
        <v>33390</v>
      </c>
      <c r="BB10" s="307">
        <v>33430</v>
      </c>
      <c r="BC10" s="307">
        <v>33470</v>
      </c>
      <c r="BD10" s="307">
        <v>33500</v>
      </c>
      <c r="BE10" s="307">
        <v>33520</v>
      </c>
      <c r="BF10" s="307">
        <v>33530</v>
      </c>
    </row>
    <row r="11" spans="1:58" x14ac:dyDescent="0.2">
      <c r="A11" s="308" t="s">
        <v>7</v>
      </c>
      <c r="B11" s="305"/>
      <c r="C11" s="307">
        <v>29510</v>
      </c>
      <c r="D11" s="307">
        <v>29470</v>
      </c>
      <c r="E11" s="307">
        <v>30140</v>
      </c>
      <c r="F11" s="307">
        <v>31580</v>
      </c>
      <c r="G11" s="307">
        <v>32910</v>
      </c>
      <c r="H11" s="307">
        <v>32550</v>
      </c>
      <c r="I11" s="307">
        <v>32290</v>
      </c>
      <c r="J11" s="307">
        <v>31650</v>
      </c>
      <c r="K11" s="307">
        <v>30840</v>
      </c>
      <c r="L11" s="307">
        <v>30850</v>
      </c>
      <c r="M11" s="307">
        <v>30940</v>
      </c>
      <c r="N11" s="307">
        <v>31080</v>
      </c>
      <c r="O11" s="307">
        <v>31260</v>
      </c>
      <c r="P11" s="307">
        <v>31450</v>
      </c>
      <c r="Q11" s="307">
        <v>31650</v>
      </c>
      <c r="R11" s="307">
        <v>31840</v>
      </c>
      <c r="S11" s="307">
        <v>32010</v>
      </c>
      <c r="T11" s="307">
        <v>32160</v>
      </c>
      <c r="U11" s="307">
        <v>32280</v>
      </c>
      <c r="V11" s="307">
        <v>32360</v>
      </c>
      <c r="W11" s="307">
        <v>32420</v>
      </c>
      <c r="X11" s="307">
        <v>32450</v>
      </c>
      <c r="Y11" s="307">
        <v>32450</v>
      </c>
      <c r="Z11" s="307">
        <v>32420</v>
      </c>
      <c r="AA11" s="307">
        <v>32370</v>
      </c>
      <c r="AB11" s="307">
        <v>32290</v>
      </c>
      <c r="AC11" s="307">
        <v>32210</v>
      </c>
      <c r="AD11" s="307">
        <v>32120</v>
      </c>
      <c r="AE11" s="307">
        <v>32040</v>
      </c>
      <c r="AF11" s="307">
        <v>31980</v>
      </c>
      <c r="AG11" s="307">
        <v>31940</v>
      </c>
      <c r="AH11" s="307">
        <v>31930</v>
      </c>
      <c r="AI11" s="307">
        <v>31960</v>
      </c>
      <c r="AJ11" s="307">
        <v>32020</v>
      </c>
      <c r="AK11" s="307">
        <v>32110</v>
      </c>
      <c r="AL11" s="307">
        <v>32210</v>
      </c>
      <c r="AM11" s="307">
        <v>32310</v>
      </c>
      <c r="AN11" s="307">
        <v>32410</v>
      </c>
      <c r="AO11" s="307">
        <v>32510</v>
      </c>
      <c r="AP11" s="307">
        <v>32600</v>
      </c>
      <c r="AQ11" s="307">
        <v>32680</v>
      </c>
      <c r="AR11" s="307">
        <v>32750</v>
      </c>
      <c r="AS11" s="307">
        <v>32820</v>
      </c>
      <c r="AT11" s="307">
        <v>32880</v>
      </c>
      <c r="AU11" s="307">
        <v>32950</v>
      </c>
      <c r="AV11" s="307">
        <v>33010</v>
      </c>
      <c r="AW11" s="307">
        <v>33070</v>
      </c>
      <c r="AX11" s="307">
        <v>33120</v>
      </c>
      <c r="AY11" s="307">
        <v>33180</v>
      </c>
      <c r="AZ11" s="307">
        <v>33240</v>
      </c>
      <c r="BA11" s="307">
        <v>33290</v>
      </c>
      <c r="BB11" s="307">
        <v>33330</v>
      </c>
      <c r="BC11" s="307">
        <v>33380</v>
      </c>
      <c r="BD11" s="307">
        <v>33410</v>
      </c>
      <c r="BE11" s="307">
        <v>33440</v>
      </c>
      <c r="BF11" s="307">
        <v>33460</v>
      </c>
    </row>
    <row r="12" spans="1:58" x14ac:dyDescent="0.2">
      <c r="A12" s="308" t="s">
        <v>8</v>
      </c>
      <c r="B12" s="305"/>
      <c r="C12" s="307">
        <v>28800</v>
      </c>
      <c r="D12" s="307">
        <v>29640</v>
      </c>
      <c r="E12" s="307">
        <v>29490</v>
      </c>
      <c r="F12" s="307">
        <v>30230</v>
      </c>
      <c r="G12" s="307">
        <v>31630</v>
      </c>
      <c r="H12" s="307">
        <v>32790</v>
      </c>
      <c r="I12" s="307">
        <v>32390</v>
      </c>
      <c r="J12" s="307">
        <v>32160</v>
      </c>
      <c r="K12" s="307">
        <v>31570</v>
      </c>
      <c r="L12" s="307">
        <v>30790</v>
      </c>
      <c r="M12" s="307">
        <v>30800</v>
      </c>
      <c r="N12" s="307">
        <v>30890</v>
      </c>
      <c r="O12" s="307">
        <v>31030</v>
      </c>
      <c r="P12" s="307">
        <v>31210</v>
      </c>
      <c r="Q12" s="307">
        <v>31400</v>
      </c>
      <c r="R12" s="307">
        <v>31600</v>
      </c>
      <c r="S12" s="307">
        <v>31790</v>
      </c>
      <c r="T12" s="307">
        <v>31960</v>
      </c>
      <c r="U12" s="307">
        <v>32110</v>
      </c>
      <c r="V12" s="307">
        <v>32230</v>
      </c>
      <c r="W12" s="307">
        <v>32320</v>
      </c>
      <c r="X12" s="307">
        <v>32370</v>
      </c>
      <c r="Y12" s="307">
        <v>32400</v>
      </c>
      <c r="Z12" s="307">
        <v>32400</v>
      </c>
      <c r="AA12" s="307">
        <v>32370</v>
      </c>
      <c r="AB12" s="307">
        <v>32320</v>
      </c>
      <c r="AC12" s="307">
        <v>32250</v>
      </c>
      <c r="AD12" s="307">
        <v>32160</v>
      </c>
      <c r="AE12" s="307">
        <v>32070</v>
      </c>
      <c r="AF12" s="307">
        <v>31990</v>
      </c>
      <c r="AG12" s="307">
        <v>31930</v>
      </c>
      <c r="AH12" s="307">
        <v>31890</v>
      </c>
      <c r="AI12" s="307">
        <v>31880</v>
      </c>
      <c r="AJ12" s="307">
        <v>31910</v>
      </c>
      <c r="AK12" s="307">
        <v>31980</v>
      </c>
      <c r="AL12" s="307">
        <v>32060</v>
      </c>
      <c r="AM12" s="307">
        <v>32160</v>
      </c>
      <c r="AN12" s="307">
        <v>32260</v>
      </c>
      <c r="AO12" s="307">
        <v>32370</v>
      </c>
      <c r="AP12" s="307">
        <v>32460</v>
      </c>
      <c r="AQ12" s="307">
        <v>32550</v>
      </c>
      <c r="AR12" s="307">
        <v>32630</v>
      </c>
      <c r="AS12" s="307">
        <v>32700</v>
      </c>
      <c r="AT12" s="307">
        <v>32770</v>
      </c>
      <c r="AU12" s="307">
        <v>32840</v>
      </c>
      <c r="AV12" s="307">
        <v>32900</v>
      </c>
      <c r="AW12" s="307">
        <v>32960</v>
      </c>
      <c r="AX12" s="307">
        <v>33020</v>
      </c>
      <c r="AY12" s="307">
        <v>33080</v>
      </c>
      <c r="AZ12" s="307">
        <v>33130</v>
      </c>
      <c r="BA12" s="307">
        <v>33190</v>
      </c>
      <c r="BB12" s="307">
        <v>33240</v>
      </c>
      <c r="BC12" s="307">
        <v>33290</v>
      </c>
      <c r="BD12" s="307">
        <v>33330</v>
      </c>
      <c r="BE12" s="307">
        <v>33370</v>
      </c>
      <c r="BF12" s="307">
        <v>33390</v>
      </c>
    </row>
    <row r="13" spans="1:58" x14ac:dyDescent="0.2">
      <c r="A13" s="308" t="s">
        <v>9</v>
      </c>
      <c r="B13" s="305"/>
      <c r="C13" s="307">
        <v>28370</v>
      </c>
      <c r="D13" s="307">
        <v>28890</v>
      </c>
      <c r="E13" s="307">
        <v>29670</v>
      </c>
      <c r="F13" s="307">
        <v>29600</v>
      </c>
      <c r="G13" s="307">
        <v>30240</v>
      </c>
      <c r="H13" s="307">
        <v>31550</v>
      </c>
      <c r="I13" s="307">
        <v>32650</v>
      </c>
      <c r="J13" s="307">
        <v>32270</v>
      </c>
      <c r="K13" s="307">
        <v>32080</v>
      </c>
      <c r="L13" s="307">
        <v>31520</v>
      </c>
      <c r="M13" s="307">
        <v>30740</v>
      </c>
      <c r="N13" s="307">
        <v>30750</v>
      </c>
      <c r="O13" s="307">
        <v>30840</v>
      </c>
      <c r="P13" s="307">
        <v>30980</v>
      </c>
      <c r="Q13" s="307">
        <v>31160</v>
      </c>
      <c r="R13" s="307">
        <v>31360</v>
      </c>
      <c r="S13" s="307">
        <v>31550</v>
      </c>
      <c r="T13" s="307">
        <v>31740</v>
      </c>
      <c r="U13" s="307">
        <v>31910</v>
      </c>
      <c r="V13" s="307">
        <v>32060</v>
      </c>
      <c r="W13" s="307">
        <v>32180</v>
      </c>
      <c r="X13" s="307">
        <v>32270</v>
      </c>
      <c r="Y13" s="307">
        <v>32320</v>
      </c>
      <c r="Z13" s="307">
        <v>32350</v>
      </c>
      <c r="AA13" s="307">
        <v>32350</v>
      </c>
      <c r="AB13" s="307">
        <v>32320</v>
      </c>
      <c r="AC13" s="307">
        <v>32270</v>
      </c>
      <c r="AD13" s="307">
        <v>32200</v>
      </c>
      <c r="AE13" s="307">
        <v>32110</v>
      </c>
      <c r="AF13" s="307">
        <v>32030</v>
      </c>
      <c r="AG13" s="307">
        <v>31950</v>
      </c>
      <c r="AH13" s="307">
        <v>31880</v>
      </c>
      <c r="AI13" s="307">
        <v>31840</v>
      </c>
      <c r="AJ13" s="307">
        <v>31840</v>
      </c>
      <c r="AK13" s="307">
        <v>31870</v>
      </c>
      <c r="AL13" s="307">
        <v>31930</v>
      </c>
      <c r="AM13" s="307">
        <v>32010</v>
      </c>
      <c r="AN13" s="307">
        <v>32110</v>
      </c>
      <c r="AO13" s="307">
        <v>32220</v>
      </c>
      <c r="AP13" s="307">
        <v>32320</v>
      </c>
      <c r="AQ13" s="307">
        <v>32420</v>
      </c>
      <c r="AR13" s="307">
        <v>32510</v>
      </c>
      <c r="AS13" s="307">
        <v>32590</v>
      </c>
      <c r="AT13" s="307">
        <v>32660</v>
      </c>
      <c r="AU13" s="307">
        <v>32730</v>
      </c>
      <c r="AV13" s="307">
        <v>32790</v>
      </c>
      <c r="AW13" s="307">
        <v>32850</v>
      </c>
      <c r="AX13" s="307">
        <v>32910</v>
      </c>
      <c r="AY13" s="307">
        <v>32970</v>
      </c>
      <c r="AZ13" s="307">
        <v>33030</v>
      </c>
      <c r="BA13" s="307">
        <v>33090</v>
      </c>
      <c r="BB13" s="307">
        <v>33140</v>
      </c>
      <c r="BC13" s="307">
        <v>33190</v>
      </c>
      <c r="BD13" s="307">
        <v>33240</v>
      </c>
      <c r="BE13" s="307">
        <v>33280</v>
      </c>
      <c r="BF13" s="307">
        <v>33320</v>
      </c>
    </row>
    <row r="14" spans="1:58" x14ac:dyDescent="0.2">
      <c r="A14" s="308" t="s">
        <v>10</v>
      </c>
      <c r="B14" s="305"/>
      <c r="C14" s="307">
        <v>29670</v>
      </c>
      <c r="D14" s="307">
        <v>28450</v>
      </c>
      <c r="E14" s="307">
        <v>28930</v>
      </c>
      <c r="F14" s="307">
        <v>29750</v>
      </c>
      <c r="G14" s="307">
        <v>29640</v>
      </c>
      <c r="H14" s="307">
        <v>30170</v>
      </c>
      <c r="I14" s="307">
        <v>31410</v>
      </c>
      <c r="J14" s="307">
        <v>32520</v>
      </c>
      <c r="K14" s="307">
        <v>32180</v>
      </c>
      <c r="L14" s="307">
        <v>32030</v>
      </c>
      <c r="M14" s="307">
        <v>31470</v>
      </c>
      <c r="N14" s="307">
        <v>30690</v>
      </c>
      <c r="O14" s="307">
        <v>30700</v>
      </c>
      <c r="P14" s="307">
        <v>30790</v>
      </c>
      <c r="Q14" s="307">
        <v>30930</v>
      </c>
      <c r="R14" s="307">
        <v>31110</v>
      </c>
      <c r="S14" s="307">
        <v>31300</v>
      </c>
      <c r="T14" s="307">
        <v>31500</v>
      </c>
      <c r="U14" s="307">
        <v>31690</v>
      </c>
      <c r="V14" s="307">
        <v>31860</v>
      </c>
      <c r="W14" s="307">
        <v>32010</v>
      </c>
      <c r="X14" s="307">
        <v>32130</v>
      </c>
      <c r="Y14" s="307">
        <v>32220</v>
      </c>
      <c r="Z14" s="307">
        <v>32280</v>
      </c>
      <c r="AA14" s="307">
        <v>32300</v>
      </c>
      <c r="AB14" s="307">
        <v>32300</v>
      </c>
      <c r="AC14" s="307">
        <v>32270</v>
      </c>
      <c r="AD14" s="307">
        <v>32220</v>
      </c>
      <c r="AE14" s="307">
        <v>32150</v>
      </c>
      <c r="AF14" s="307">
        <v>32060</v>
      </c>
      <c r="AG14" s="307">
        <v>31980</v>
      </c>
      <c r="AH14" s="307">
        <v>31900</v>
      </c>
      <c r="AI14" s="307">
        <v>31830</v>
      </c>
      <c r="AJ14" s="307">
        <v>31790</v>
      </c>
      <c r="AK14" s="307">
        <v>31790</v>
      </c>
      <c r="AL14" s="307">
        <v>31820</v>
      </c>
      <c r="AM14" s="307">
        <v>31880</v>
      </c>
      <c r="AN14" s="307">
        <v>31970</v>
      </c>
      <c r="AO14" s="307">
        <v>32060</v>
      </c>
      <c r="AP14" s="307">
        <v>32170</v>
      </c>
      <c r="AQ14" s="307">
        <v>32270</v>
      </c>
      <c r="AR14" s="307">
        <v>32370</v>
      </c>
      <c r="AS14" s="307">
        <v>32460</v>
      </c>
      <c r="AT14" s="307">
        <v>32540</v>
      </c>
      <c r="AU14" s="307">
        <v>32610</v>
      </c>
      <c r="AV14" s="307">
        <v>32680</v>
      </c>
      <c r="AW14" s="307">
        <v>32740</v>
      </c>
      <c r="AX14" s="307">
        <v>32800</v>
      </c>
      <c r="AY14" s="307">
        <v>32870</v>
      </c>
      <c r="AZ14" s="307">
        <v>32920</v>
      </c>
      <c r="BA14" s="307">
        <v>32980</v>
      </c>
      <c r="BB14" s="307">
        <v>33040</v>
      </c>
      <c r="BC14" s="307">
        <v>33090</v>
      </c>
      <c r="BD14" s="307">
        <v>33150</v>
      </c>
      <c r="BE14" s="307">
        <v>33190</v>
      </c>
      <c r="BF14" s="307">
        <v>33240</v>
      </c>
    </row>
    <row r="15" spans="1:58" x14ac:dyDescent="0.2">
      <c r="A15" s="308" t="s">
        <v>11</v>
      </c>
      <c r="B15" s="305"/>
      <c r="C15" s="307">
        <v>30280</v>
      </c>
      <c r="D15" s="307">
        <v>29780</v>
      </c>
      <c r="E15" s="307">
        <v>28500</v>
      </c>
      <c r="F15" s="307">
        <v>28960</v>
      </c>
      <c r="G15" s="307">
        <v>29800</v>
      </c>
      <c r="H15" s="307">
        <v>29580</v>
      </c>
      <c r="I15" s="307">
        <v>30030</v>
      </c>
      <c r="J15" s="307">
        <v>31280</v>
      </c>
      <c r="K15" s="307">
        <v>32440</v>
      </c>
      <c r="L15" s="307">
        <v>32130</v>
      </c>
      <c r="M15" s="307">
        <v>31970</v>
      </c>
      <c r="N15" s="307">
        <v>31410</v>
      </c>
      <c r="O15" s="307">
        <v>30640</v>
      </c>
      <c r="P15" s="307">
        <v>30650</v>
      </c>
      <c r="Q15" s="307">
        <v>30740</v>
      </c>
      <c r="R15" s="307">
        <v>30880</v>
      </c>
      <c r="S15" s="307">
        <v>31060</v>
      </c>
      <c r="T15" s="307">
        <v>31250</v>
      </c>
      <c r="U15" s="307">
        <v>31450</v>
      </c>
      <c r="V15" s="307">
        <v>31640</v>
      </c>
      <c r="W15" s="307">
        <v>31810</v>
      </c>
      <c r="X15" s="307">
        <v>31960</v>
      </c>
      <c r="Y15" s="307">
        <v>32080</v>
      </c>
      <c r="Z15" s="307">
        <v>32170</v>
      </c>
      <c r="AA15" s="307">
        <v>32220</v>
      </c>
      <c r="AB15" s="307">
        <v>32250</v>
      </c>
      <c r="AC15" s="307">
        <v>32250</v>
      </c>
      <c r="AD15" s="307">
        <v>32220</v>
      </c>
      <c r="AE15" s="307">
        <v>32170</v>
      </c>
      <c r="AF15" s="307">
        <v>32100</v>
      </c>
      <c r="AG15" s="307">
        <v>32010</v>
      </c>
      <c r="AH15" s="307">
        <v>31920</v>
      </c>
      <c r="AI15" s="307">
        <v>31840</v>
      </c>
      <c r="AJ15" s="307">
        <v>31780</v>
      </c>
      <c r="AK15" s="307">
        <v>31740</v>
      </c>
      <c r="AL15" s="307">
        <v>31730</v>
      </c>
      <c r="AM15" s="307">
        <v>31770</v>
      </c>
      <c r="AN15" s="307">
        <v>31830</v>
      </c>
      <c r="AO15" s="307">
        <v>31910</v>
      </c>
      <c r="AP15" s="307">
        <v>32010</v>
      </c>
      <c r="AQ15" s="307">
        <v>32120</v>
      </c>
      <c r="AR15" s="307">
        <v>32220</v>
      </c>
      <c r="AS15" s="307">
        <v>32320</v>
      </c>
      <c r="AT15" s="307">
        <v>32410</v>
      </c>
      <c r="AU15" s="307">
        <v>32490</v>
      </c>
      <c r="AV15" s="307">
        <v>32560</v>
      </c>
      <c r="AW15" s="307">
        <v>32630</v>
      </c>
      <c r="AX15" s="307">
        <v>32690</v>
      </c>
      <c r="AY15" s="307">
        <v>32750</v>
      </c>
      <c r="AZ15" s="307">
        <v>32810</v>
      </c>
      <c r="BA15" s="307">
        <v>32870</v>
      </c>
      <c r="BB15" s="307">
        <v>32930</v>
      </c>
      <c r="BC15" s="307">
        <v>32990</v>
      </c>
      <c r="BD15" s="307">
        <v>33040</v>
      </c>
      <c r="BE15" s="307">
        <v>33100</v>
      </c>
      <c r="BF15" s="307">
        <v>33140</v>
      </c>
    </row>
    <row r="16" spans="1:58" x14ac:dyDescent="0.2">
      <c r="A16" s="308" t="s">
        <v>12</v>
      </c>
      <c r="B16" s="305"/>
      <c r="C16" s="307">
        <v>29500</v>
      </c>
      <c r="D16" s="307">
        <v>30370</v>
      </c>
      <c r="E16" s="307">
        <v>29780</v>
      </c>
      <c r="F16" s="307">
        <v>28480</v>
      </c>
      <c r="G16" s="307">
        <v>29030</v>
      </c>
      <c r="H16" s="307">
        <v>29730</v>
      </c>
      <c r="I16" s="307">
        <v>29440</v>
      </c>
      <c r="J16" s="307">
        <v>29910</v>
      </c>
      <c r="K16" s="307">
        <v>31200</v>
      </c>
      <c r="L16" s="307">
        <v>32380</v>
      </c>
      <c r="M16" s="307">
        <v>32070</v>
      </c>
      <c r="N16" s="307">
        <v>31920</v>
      </c>
      <c r="O16" s="307">
        <v>31360</v>
      </c>
      <c r="P16" s="307">
        <v>30580</v>
      </c>
      <c r="Q16" s="307">
        <v>30590</v>
      </c>
      <c r="R16" s="307">
        <v>30680</v>
      </c>
      <c r="S16" s="307">
        <v>30820</v>
      </c>
      <c r="T16" s="307">
        <v>31000</v>
      </c>
      <c r="U16" s="307">
        <v>31200</v>
      </c>
      <c r="V16" s="307">
        <v>31390</v>
      </c>
      <c r="W16" s="307">
        <v>31580</v>
      </c>
      <c r="X16" s="307">
        <v>31760</v>
      </c>
      <c r="Y16" s="307">
        <v>31900</v>
      </c>
      <c r="Z16" s="307">
        <v>32020</v>
      </c>
      <c r="AA16" s="307">
        <v>32110</v>
      </c>
      <c r="AB16" s="307">
        <v>32170</v>
      </c>
      <c r="AC16" s="307">
        <v>32190</v>
      </c>
      <c r="AD16" s="307">
        <v>32190</v>
      </c>
      <c r="AE16" s="307">
        <v>32170</v>
      </c>
      <c r="AF16" s="307">
        <v>32110</v>
      </c>
      <c r="AG16" s="307">
        <v>32040</v>
      </c>
      <c r="AH16" s="307">
        <v>31960</v>
      </c>
      <c r="AI16" s="307">
        <v>31870</v>
      </c>
      <c r="AJ16" s="307">
        <v>31790</v>
      </c>
      <c r="AK16" s="307">
        <v>31720</v>
      </c>
      <c r="AL16" s="307">
        <v>31690</v>
      </c>
      <c r="AM16" s="307">
        <v>31680</v>
      </c>
      <c r="AN16" s="307">
        <v>31710</v>
      </c>
      <c r="AO16" s="307">
        <v>31780</v>
      </c>
      <c r="AP16" s="307">
        <v>31860</v>
      </c>
      <c r="AQ16" s="307">
        <v>31960</v>
      </c>
      <c r="AR16" s="307">
        <v>32060</v>
      </c>
      <c r="AS16" s="307">
        <v>32170</v>
      </c>
      <c r="AT16" s="307">
        <v>32260</v>
      </c>
      <c r="AU16" s="307">
        <v>32350</v>
      </c>
      <c r="AV16" s="307">
        <v>32430</v>
      </c>
      <c r="AW16" s="307">
        <v>32500</v>
      </c>
      <c r="AX16" s="307">
        <v>32570</v>
      </c>
      <c r="AY16" s="307">
        <v>32640</v>
      </c>
      <c r="AZ16" s="307">
        <v>32700</v>
      </c>
      <c r="BA16" s="307">
        <v>32760</v>
      </c>
      <c r="BB16" s="307">
        <v>32820</v>
      </c>
      <c r="BC16" s="307">
        <v>32880</v>
      </c>
      <c r="BD16" s="307">
        <v>32930</v>
      </c>
      <c r="BE16" s="307">
        <v>32990</v>
      </c>
      <c r="BF16" s="307">
        <v>33040</v>
      </c>
    </row>
    <row r="17" spans="1:58" x14ac:dyDescent="0.2">
      <c r="A17" s="308" t="s">
        <v>13</v>
      </c>
      <c r="B17" s="305"/>
      <c r="C17" s="307">
        <v>29960</v>
      </c>
      <c r="D17" s="307">
        <v>29580</v>
      </c>
      <c r="E17" s="307">
        <v>30440</v>
      </c>
      <c r="F17" s="307">
        <v>29810</v>
      </c>
      <c r="G17" s="307">
        <v>28550</v>
      </c>
      <c r="H17" s="307">
        <v>28990</v>
      </c>
      <c r="I17" s="307">
        <v>29600</v>
      </c>
      <c r="J17" s="307">
        <v>29320</v>
      </c>
      <c r="K17" s="307">
        <v>29820</v>
      </c>
      <c r="L17" s="307">
        <v>31140</v>
      </c>
      <c r="M17" s="307">
        <v>32320</v>
      </c>
      <c r="N17" s="307">
        <v>32010</v>
      </c>
      <c r="O17" s="307">
        <v>31860</v>
      </c>
      <c r="P17" s="307">
        <v>31300</v>
      </c>
      <c r="Q17" s="307">
        <v>30520</v>
      </c>
      <c r="R17" s="307">
        <v>30540</v>
      </c>
      <c r="S17" s="307">
        <v>30620</v>
      </c>
      <c r="T17" s="307">
        <v>30760</v>
      </c>
      <c r="U17" s="307">
        <v>30940</v>
      </c>
      <c r="V17" s="307">
        <v>31140</v>
      </c>
      <c r="W17" s="307">
        <v>31330</v>
      </c>
      <c r="X17" s="307">
        <v>31530</v>
      </c>
      <c r="Y17" s="307">
        <v>31700</v>
      </c>
      <c r="Z17" s="307">
        <v>31850</v>
      </c>
      <c r="AA17" s="307">
        <v>31960</v>
      </c>
      <c r="AB17" s="307">
        <v>32050</v>
      </c>
      <c r="AC17" s="307">
        <v>32110</v>
      </c>
      <c r="AD17" s="307">
        <v>32140</v>
      </c>
      <c r="AE17" s="307">
        <v>32140</v>
      </c>
      <c r="AF17" s="307">
        <v>32110</v>
      </c>
      <c r="AG17" s="307">
        <v>32060</v>
      </c>
      <c r="AH17" s="307">
        <v>31990</v>
      </c>
      <c r="AI17" s="307">
        <v>31900</v>
      </c>
      <c r="AJ17" s="307">
        <v>31810</v>
      </c>
      <c r="AK17" s="307">
        <v>31730</v>
      </c>
      <c r="AL17" s="307">
        <v>31670</v>
      </c>
      <c r="AM17" s="307">
        <v>31630</v>
      </c>
      <c r="AN17" s="307">
        <v>31620</v>
      </c>
      <c r="AO17" s="307">
        <v>31660</v>
      </c>
      <c r="AP17" s="307">
        <v>31720</v>
      </c>
      <c r="AQ17" s="307">
        <v>31800</v>
      </c>
      <c r="AR17" s="307">
        <v>31900</v>
      </c>
      <c r="AS17" s="307">
        <v>32010</v>
      </c>
      <c r="AT17" s="307">
        <v>32110</v>
      </c>
      <c r="AU17" s="307">
        <v>32210</v>
      </c>
      <c r="AV17" s="307">
        <v>32290</v>
      </c>
      <c r="AW17" s="307">
        <v>32370</v>
      </c>
      <c r="AX17" s="307">
        <v>32450</v>
      </c>
      <c r="AY17" s="307">
        <v>32520</v>
      </c>
      <c r="AZ17" s="307">
        <v>32580</v>
      </c>
      <c r="BA17" s="307">
        <v>32640</v>
      </c>
      <c r="BB17" s="307">
        <v>32700</v>
      </c>
      <c r="BC17" s="307">
        <v>32760</v>
      </c>
      <c r="BD17" s="307">
        <v>32820</v>
      </c>
      <c r="BE17" s="307">
        <v>32880</v>
      </c>
      <c r="BF17" s="307">
        <v>32930</v>
      </c>
    </row>
    <row r="18" spans="1:58" x14ac:dyDescent="0.2">
      <c r="A18" s="308" t="s">
        <v>14</v>
      </c>
      <c r="B18" s="305"/>
      <c r="C18" s="307">
        <v>29820</v>
      </c>
      <c r="D18" s="307">
        <v>30050</v>
      </c>
      <c r="E18" s="307">
        <v>29620</v>
      </c>
      <c r="F18" s="307">
        <v>30420</v>
      </c>
      <c r="G18" s="307">
        <v>29890</v>
      </c>
      <c r="H18" s="307">
        <v>28500</v>
      </c>
      <c r="I18" s="307">
        <v>28860</v>
      </c>
      <c r="J18" s="307">
        <v>29480</v>
      </c>
      <c r="K18" s="307">
        <v>29240</v>
      </c>
      <c r="L18" s="307">
        <v>29760</v>
      </c>
      <c r="M18" s="307">
        <v>31080</v>
      </c>
      <c r="N18" s="307">
        <v>32260</v>
      </c>
      <c r="O18" s="307">
        <v>31960</v>
      </c>
      <c r="P18" s="307">
        <v>31800</v>
      </c>
      <c r="Q18" s="307">
        <v>31240</v>
      </c>
      <c r="R18" s="307">
        <v>30460</v>
      </c>
      <c r="S18" s="307">
        <v>30480</v>
      </c>
      <c r="T18" s="307">
        <v>30560</v>
      </c>
      <c r="U18" s="307">
        <v>30710</v>
      </c>
      <c r="V18" s="307">
        <v>30890</v>
      </c>
      <c r="W18" s="307">
        <v>31080</v>
      </c>
      <c r="X18" s="307">
        <v>31280</v>
      </c>
      <c r="Y18" s="307">
        <v>31470</v>
      </c>
      <c r="Z18" s="307">
        <v>31640</v>
      </c>
      <c r="AA18" s="307">
        <v>31790</v>
      </c>
      <c r="AB18" s="307">
        <v>31910</v>
      </c>
      <c r="AC18" s="307">
        <v>32000</v>
      </c>
      <c r="AD18" s="307">
        <v>32050</v>
      </c>
      <c r="AE18" s="307">
        <v>32080</v>
      </c>
      <c r="AF18" s="307">
        <v>32080</v>
      </c>
      <c r="AG18" s="307">
        <v>32050</v>
      </c>
      <c r="AH18" s="307">
        <v>32000</v>
      </c>
      <c r="AI18" s="307">
        <v>31930</v>
      </c>
      <c r="AJ18" s="307">
        <v>31840</v>
      </c>
      <c r="AK18" s="307">
        <v>31760</v>
      </c>
      <c r="AL18" s="307">
        <v>31680</v>
      </c>
      <c r="AM18" s="307">
        <v>31610</v>
      </c>
      <c r="AN18" s="307">
        <v>31570</v>
      </c>
      <c r="AO18" s="307">
        <v>31570</v>
      </c>
      <c r="AP18" s="307">
        <v>31600</v>
      </c>
      <c r="AQ18" s="307">
        <v>31660</v>
      </c>
      <c r="AR18" s="307">
        <v>31750</v>
      </c>
      <c r="AS18" s="307">
        <v>31840</v>
      </c>
      <c r="AT18" s="307">
        <v>31950</v>
      </c>
      <c r="AU18" s="307">
        <v>32050</v>
      </c>
      <c r="AV18" s="307">
        <v>32150</v>
      </c>
      <c r="AW18" s="307">
        <v>32240</v>
      </c>
      <c r="AX18" s="307">
        <v>32320</v>
      </c>
      <c r="AY18" s="307">
        <v>32390</v>
      </c>
      <c r="AZ18" s="307">
        <v>32460</v>
      </c>
      <c r="BA18" s="307">
        <v>32520</v>
      </c>
      <c r="BB18" s="307">
        <v>32590</v>
      </c>
      <c r="BC18" s="307">
        <v>32650</v>
      </c>
      <c r="BD18" s="307">
        <v>32710</v>
      </c>
      <c r="BE18" s="307">
        <v>32770</v>
      </c>
      <c r="BF18" s="307">
        <v>32820</v>
      </c>
    </row>
    <row r="19" spans="1:58" x14ac:dyDescent="0.2">
      <c r="A19" s="308" t="s">
        <v>15</v>
      </c>
      <c r="B19" s="305"/>
      <c r="C19" s="307">
        <v>31100</v>
      </c>
      <c r="D19" s="307">
        <v>29950</v>
      </c>
      <c r="E19" s="307">
        <v>30030</v>
      </c>
      <c r="F19" s="307">
        <v>29640</v>
      </c>
      <c r="G19" s="307">
        <v>30480</v>
      </c>
      <c r="H19" s="307">
        <v>29820</v>
      </c>
      <c r="I19" s="307">
        <v>28380</v>
      </c>
      <c r="J19" s="307">
        <v>28740</v>
      </c>
      <c r="K19" s="307">
        <v>29400</v>
      </c>
      <c r="L19" s="307">
        <v>29180</v>
      </c>
      <c r="M19" s="307">
        <v>29700</v>
      </c>
      <c r="N19" s="307">
        <v>31020</v>
      </c>
      <c r="O19" s="307">
        <v>32200</v>
      </c>
      <c r="P19" s="307">
        <v>31900</v>
      </c>
      <c r="Q19" s="307">
        <v>31740</v>
      </c>
      <c r="R19" s="307">
        <v>31180</v>
      </c>
      <c r="S19" s="307">
        <v>30400</v>
      </c>
      <c r="T19" s="307">
        <v>30420</v>
      </c>
      <c r="U19" s="307">
        <v>30510</v>
      </c>
      <c r="V19" s="307">
        <v>30650</v>
      </c>
      <c r="W19" s="307">
        <v>30830</v>
      </c>
      <c r="X19" s="307">
        <v>31020</v>
      </c>
      <c r="Y19" s="307">
        <v>31220</v>
      </c>
      <c r="Z19" s="307">
        <v>31410</v>
      </c>
      <c r="AA19" s="307">
        <v>31580</v>
      </c>
      <c r="AB19" s="307">
        <v>31730</v>
      </c>
      <c r="AC19" s="307">
        <v>31850</v>
      </c>
      <c r="AD19" s="307">
        <v>31940</v>
      </c>
      <c r="AE19" s="307">
        <v>31990</v>
      </c>
      <c r="AF19" s="307">
        <v>32020</v>
      </c>
      <c r="AG19" s="307">
        <v>32020</v>
      </c>
      <c r="AH19" s="307">
        <v>31990</v>
      </c>
      <c r="AI19" s="307">
        <v>31940</v>
      </c>
      <c r="AJ19" s="307">
        <v>31870</v>
      </c>
      <c r="AK19" s="307">
        <v>31790</v>
      </c>
      <c r="AL19" s="307">
        <v>31700</v>
      </c>
      <c r="AM19" s="307">
        <v>31620</v>
      </c>
      <c r="AN19" s="307">
        <v>31550</v>
      </c>
      <c r="AO19" s="307">
        <v>31510</v>
      </c>
      <c r="AP19" s="307">
        <v>31510</v>
      </c>
      <c r="AQ19" s="307">
        <v>31540</v>
      </c>
      <c r="AR19" s="307">
        <v>31600</v>
      </c>
      <c r="AS19" s="307">
        <v>31690</v>
      </c>
      <c r="AT19" s="307">
        <v>31790</v>
      </c>
      <c r="AU19" s="307">
        <v>31890</v>
      </c>
      <c r="AV19" s="307">
        <v>31990</v>
      </c>
      <c r="AW19" s="307">
        <v>32090</v>
      </c>
      <c r="AX19" s="307">
        <v>32180</v>
      </c>
      <c r="AY19" s="307">
        <v>32260</v>
      </c>
      <c r="AZ19" s="307">
        <v>32330</v>
      </c>
      <c r="BA19" s="307">
        <v>32400</v>
      </c>
      <c r="BB19" s="307">
        <v>32470</v>
      </c>
      <c r="BC19" s="307">
        <v>32530</v>
      </c>
      <c r="BD19" s="307">
        <v>32590</v>
      </c>
      <c r="BE19" s="307">
        <v>32650</v>
      </c>
      <c r="BF19" s="307">
        <v>32710</v>
      </c>
    </row>
    <row r="20" spans="1:58" x14ac:dyDescent="0.2">
      <c r="A20" s="308" t="s">
        <v>16</v>
      </c>
      <c r="B20" s="305"/>
      <c r="C20" s="307">
        <v>31570</v>
      </c>
      <c r="D20" s="307">
        <v>31190</v>
      </c>
      <c r="E20" s="307">
        <v>30000</v>
      </c>
      <c r="F20" s="307">
        <v>30010</v>
      </c>
      <c r="G20" s="307">
        <v>29710</v>
      </c>
      <c r="H20" s="307">
        <v>30380</v>
      </c>
      <c r="I20" s="307">
        <v>29690</v>
      </c>
      <c r="J20" s="307">
        <v>28270</v>
      </c>
      <c r="K20" s="307">
        <v>28660</v>
      </c>
      <c r="L20" s="307">
        <v>29340</v>
      </c>
      <c r="M20" s="307">
        <v>29120</v>
      </c>
      <c r="N20" s="307">
        <v>29640</v>
      </c>
      <c r="O20" s="307">
        <v>30960</v>
      </c>
      <c r="P20" s="307">
        <v>32140</v>
      </c>
      <c r="Q20" s="307">
        <v>31840</v>
      </c>
      <c r="R20" s="307">
        <v>31680</v>
      </c>
      <c r="S20" s="307">
        <v>31120</v>
      </c>
      <c r="T20" s="307">
        <v>30340</v>
      </c>
      <c r="U20" s="307">
        <v>30360</v>
      </c>
      <c r="V20" s="307">
        <v>30450</v>
      </c>
      <c r="W20" s="307">
        <v>30590</v>
      </c>
      <c r="X20" s="307">
        <v>30770</v>
      </c>
      <c r="Y20" s="307">
        <v>30960</v>
      </c>
      <c r="Z20" s="307">
        <v>31160</v>
      </c>
      <c r="AA20" s="307">
        <v>31350</v>
      </c>
      <c r="AB20" s="307">
        <v>31520</v>
      </c>
      <c r="AC20" s="307">
        <v>31670</v>
      </c>
      <c r="AD20" s="307">
        <v>31790</v>
      </c>
      <c r="AE20" s="307">
        <v>31880</v>
      </c>
      <c r="AF20" s="307">
        <v>31930</v>
      </c>
      <c r="AG20" s="307">
        <v>31960</v>
      </c>
      <c r="AH20" s="307">
        <v>31960</v>
      </c>
      <c r="AI20" s="307">
        <v>31930</v>
      </c>
      <c r="AJ20" s="307">
        <v>31880</v>
      </c>
      <c r="AK20" s="307">
        <v>31810</v>
      </c>
      <c r="AL20" s="307">
        <v>31730</v>
      </c>
      <c r="AM20" s="307">
        <v>31640</v>
      </c>
      <c r="AN20" s="307">
        <v>31560</v>
      </c>
      <c r="AO20" s="307">
        <v>31490</v>
      </c>
      <c r="AP20" s="307">
        <v>31460</v>
      </c>
      <c r="AQ20" s="307">
        <v>31450</v>
      </c>
      <c r="AR20" s="307">
        <v>31480</v>
      </c>
      <c r="AS20" s="307">
        <v>31550</v>
      </c>
      <c r="AT20" s="307">
        <v>31630</v>
      </c>
      <c r="AU20" s="307">
        <v>31730</v>
      </c>
      <c r="AV20" s="307">
        <v>31830</v>
      </c>
      <c r="AW20" s="307">
        <v>31940</v>
      </c>
      <c r="AX20" s="307">
        <v>32030</v>
      </c>
      <c r="AY20" s="307">
        <v>32120</v>
      </c>
      <c r="AZ20" s="307">
        <v>32200</v>
      </c>
      <c r="BA20" s="307">
        <v>32280</v>
      </c>
      <c r="BB20" s="307">
        <v>32340</v>
      </c>
      <c r="BC20" s="307">
        <v>32410</v>
      </c>
      <c r="BD20" s="307">
        <v>32470</v>
      </c>
      <c r="BE20" s="307">
        <v>32530</v>
      </c>
      <c r="BF20" s="307">
        <v>32590</v>
      </c>
    </row>
    <row r="21" spans="1:58" x14ac:dyDescent="0.2">
      <c r="A21" s="308" t="s">
        <v>17</v>
      </c>
      <c r="B21" s="305"/>
      <c r="C21" s="307">
        <v>31640</v>
      </c>
      <c r="D21" s="307">
        <v>31650</v>
      </c>
      <c r="E21" s="307">
        <v>31210</v>
      </c>
      <c r="F21" s="307">
        <v>30000</v>
      </c>
      <c r="G21" s="307">
        <v>30060</v>
      </c>
      <c r="H21" s="307">
        <v>29630</v>
      </c>
      <c r="I21" s="307">
        <v>30270</v>
      </c>
      <c r="J21" s="307">
        <v>29590</v>
      </c>
      <c r="K21" s="307">
        <v>28200</v>
      </c>
      <c r="L21" s="307">
        <v>28610</v>
      </c>
      <c r="M21" s="307">
        <v>29290</v>
      </c>
      <c r="N21" s="307">
        <v>29070</v>
      </c>
      <c r="O21" s="307">
        <v>29590</v>
      </c>
      <c r="P21" s="307">
        <v>30920</v>
      </c>
      <c r="Q21" s="307">
        <v>32090</v>
      </c>
      <c r="R21" s="307">
        <v>31790</v>
      </c>
      <c r="S21" s="307">
        <v>31630</v>
      </c>
      <c r="T21" s="307">
        <v>31070</v>
      </c>
      <c r="U21" s="307">
        <v>30300</v>
      </c>
      <c r="V21" s="307">
        <v>30310</v>
      </c>
      <c r="W21" s="307">
        <v>30400</v>
      </c>
      <c r="X21" s="307">
        <v>30540</v>
      </c>
      <c r="Y21" s="307">
        <v>30720</v>
      </c>
      <c r="Z21" s="307">
        <v>30910</v>
      </c>
      <c r="AA21" s="307">
        <v>31110</v>
      </c>
      <c r="AB21" s="307">
        <v>31300</v>
      </c>
      <c r="AC21" s="307">
        <v>31470</v>
      </c>
      <c r="AD21" s="307">
        <v>31620</v>
      </c>
      <c r="AE21" s="307">
        <v>31740</v>
      </c>
      <c r="AF21" s="307">
        <v>31830</v>
      </c>
      <c r="AG21" s="307">
        <v>31890</v>
      </c>
      <c r="AH21" s="307">
        <v>31910</v>
      </c>
      <c r="AI21" s="307">
        <v>31910</v>
      </c>
      <c r="AJ21" s="307">
        <v>31890</v>
      </c>
      <c r="AK21" s="307">
        <v>31830</v>
      </c>
      <c r="AL21" s="307">
        <v>31760</v>
      </c>
      <c r="AM21" s="307">
        <v>31680</v>
      </c>
      <c r="AN21" s="307">
        <v>31590</v>
      </c>
      <c r="AO21" s="307">
        <v>31510</v>
      </c>
      <c r="AP21" s="307">
        <v>31450</v>
      </c>
      <c r="AQ21" s="307">
        <v>31410</v>
      </c>
      <c r="AR21" s="307">
        <v>31400</v>
      </c>
      <c r="AS21" s="307">
        <v>31430</v>
      </c>
      <c r="AT21" s="307">
        <v>31500</v>
      </c>
      <c r="AU21" s="307">
        <v>31580</v>
      </c>
      <c r="AV21" s="307">
        <v>31680</v>
      </c>
      <c r="AW21" s="307">
        <v>31790</v>
      </c>
      <c r="AX21" s="307">
        <v>31890</v>
      </c>
      <c r="AY21" s="307">
        <v>31990</v>
      </c>
      <c r="AZ21" s="307">
        <v>32080</v>
      </c>
      <c r="BA21" s="307">
        <v>32160</v>
      </c>
      <c r="BB21" s="307">
        <v>32230</v>
      </c>
      <c r="BC21" s="307">
        <v>32300</v>
      </c>
      <c r="BD21" s="307">
        <v>32360</v>
      </c>
      <c r="BE21" s="307">
        <v>32420</v>
      </c>
      <c r="BF21" s="307">
        <v>32490</v>
      </c>
    </row>
    <row r="22" spans="1:58" x14ac:dyDescent="0.2">
      <c r="A22" s="308" t="s">
        <v>18</v>
      </c>
      <c r="B22" s="305"/>
      <c r="C22" s="307">
        <v>32400</v>
      </c>
      <c r="D22" s="307">
        <v>31740</v>
      </c>
      <c r="E22" s="307">
        <v>31670</v>
      </c>
      <c r="F22" s="307">
        <v>31230</v>
      </c>
      <c r="G22" s="307">
        <v>30020</v>
      </c>
      <c r="H22" s="307">
        <v>30050</v>
      </c>
      <c r="I22" s="307">
        <v>29540</v>
      </c>
      <c r="J22" s="307">
        <v>30190</v>
      </c>
      <c r="K22" s="307">
        <v>29550</v>
      </c>
      <c r="L22" s="307">
        <v>28180</v>
      </c>
      <c r="M22" s="307">
        <v>28600</v>
      </c>
      <c r="N22" s="307">
        <v>29270</v>
      </c>
      <c r="O22" s="307">
        <v>29050</v>
      </c>
      <c r="P22" s="307">
        <v>29580</v>
      </c>
      <c r="Q22" s="307">
        <v>30900</v>
      </c>
      <c r="R22" s="307">
        <v>32070</v>
      </c>
      <c r="S22" s="307">
        <v>31770</v>
      </c>
      <c r="T22" s="307">
        <v>31610</v>
      </c>
      <c r="U22" s="307">
        <v>31050</v>
      </c>
      <c r="V22" s="307">
        <v>30280</v>
      </c>
      <c r="W22" s="307">
        <v>30290</v>
      </c>
      <c r="X22" s="307">
        <v>30380</v>
      </c>
      <c r="Y22" s="307">
        <v>30520</v>
      </c>
      <c r="Z22" s="307">
        <v>30700</v>
      </c>
      <c r="AA22" s="307">
        <v>30900</v>
      </c>
      <c r="AB22" s="307">
        <v>31090</v>
      </c>
      <c r="AC22" s="307">
        <v>31280</v>
      </c>
      <c r="AD22" s="307">
        <v>31460</v>
      </c>
      <c r="AE22" s="307">
        <v>31600</v>
      </c>
      <c r="AF22" s="307">
        <v>31720</v>
      </c>
      <c r="AG22" s="307">
        <v>31810</v>
      </c>
      <c r="AH22" s="307">
        <v>31870</v>
      </c>
      <c r="AI22" s="307">
        <v>31900</v>
      </c>
      <c r="AJ22" s="307">
        <v>31900</v>
      </c>
      <c r="AK22" s="307">
        <v>31870</v>
      </c>
      <c r="AL22" s="307">
        <v>31820</v>
      </c>
      <c r="AM22" s="307">
        <v>31750</v>
      </c>
      <c r="AN22" s="307">
        <v>31660</v>
      </c>
      <c r="AO22" s="307">
        <v>31580</v>
      </c>
      <c r="AP22" s="307">
        <v>31500</v>
      </c>
      <c r="AQ22" s="307">
        <v>31430</v>
      </c>
      <c r="AR22" s="307">
        <v>31390</v>
      </c>
      <c r="AS22" s="307">
        <v>31390</v>
      </c>
      <c r="AT22" s="307">
        <v>31420</v>
      </c>
      <c r="AU22" s="307">
        <v>31480</v>
      </c>
      <c r="AV22" s="307">
        <v>31570</v>
      </c>
      <c r="AW22" s="307">
        <v>31670</v>
      </c>
      <c r="AX22" s="307">
        <v>31770</v>
      </c>
      <c r="AY22" s="307">
        <v>31870</v>
      </c>
      <c r="AZ22" s="307">
        <v>31970</v>
      </c>
      <c r="BA22" s="307">
        <v>32060</v>
      </c>
      <c r="BB22" s="307">
        <v>32140</v>
      </c>
      <c r="BC22" s="307">
        <v>32210</v>
      </c>
      <c r="BD22" s="307">
        <v>32280</v>
      </c>
      <c r="BE22" s="307">
        <v>32350</v>
      </c>
      <c r="BF22" s="307">
        <v>32410</v>
      </c>
    </row>
    <row r="23" spans="1:58" x14ac:dyDescent="0.2">
      <c r="A23" s="308" t="s">
        <v>19</v>
      </c>
      <c r="B23" s="305"/>
      <c r="C23" s="307">
        <v>32800</v>
      </c>
      <c r="D23" s="307">
        <v>32500</v>
      </c>
      <c r="E23" s="307">
        <v>31790</v>
      </c>
      <c r="F23" s="307">
        <v>31720</v>
      </c>
      <c r="G23" s="307">
        <v>31310</v>
      </c>
      <c r="H23" s="307">
        <v>30020</v>
      </c>
      <c r="I23" s="307">
        <v>30000</v>
      </c>
      <c r="J23" s="307">
        <v>29500</v>
      </c>
      <c r="K23" s="307">
        <v>30200</v>
      </c>
      <c r="L23" s="307">
        <v>29580</v>
      </c>
      <c r="M23" s="307">
        <v>28210</v>
      </c>
      <c r="N23" s="307">
        <v>28620</v>
      </c>
      <c r="O23" s="307">
        <v>29300</v>
      </c>
      <c r="P23" s="307">
        <v>29080</v>
      </c>
      <c r="Q23" s="307">
        <v>29600</v>
      </c>
      <c r="R23" s="307">
        <v>30930</v>
      </c>
      <c r="S23" s="307">
        <v>32100</v>
      </c>
      <c r="T23" s="307">
        <v>31800</v>
      </c>
      <c r="U23" s="307">
        <v>31640</v>
      </c>
      <c r="V23" s="307">
        <v>31080</v>
      </c>
      <c r="W23" s="307">
        <v>30310</v>
      </c>
      <c r="X23" s="307">
        <v>30320</v>
      </c>
      <c r="Y23" s="307">
        <v>30410</v>
      </c>
      <c r="Z23" s="307">
        <v>30550</v>
      </c>
      <c r="AA23" s="307">
        <v>30730</v>
      </c>
      <c r="AB23" s="307">
        <v>30930</v>
      </c>
      <c r="AC23" s="307">
        <v>31120</v>
      </c>
      <c r="AD23" s="307">
        <v>31310</v>
      </c>
      <c r="AE23" s="307">
        <v>31490</v>
      </c>
      <c r="AF23" s="307">
        <v>31630</v>
      </c>
      <c r="AG23" s="307">
        <v>31750</v>
      </c>
      <c r="AH23" s="307">
        <v>31840</v>
      </c>
      <c r="AI23" s="307">
        <v>31900</v>
      </c>
      <c r="AJ23" s="307">
        <v>31930</v>
      </c>
      <c r="AK23" s="307">
        <v>31930</v>
      </c>
      <c r="AL23" s="307">
        <v>31900</v>
      </c>
      <c r="AM23" s="307">
        <v>31850</v>
      </c>
      <c r="AN23" s="307">
        <v>31780</v>
      </c>
      <c r="AO23" s="307">
        <v>31690</v>
      </c>
      <c r="AP23" s="307">
        <v>31610</v>
      </c>
      <c r="AQ23" s="307">
        <v>31530</v>
      </c>
      <c r="AR23" s="307">
        <v>31460</v>
      </c>
      <c r="AS23" s="307">
        <v>31420</v>
      </c>
      <c r="AT23" s="307">
        <v>31420</v>
      </c>
      <c r="AU23" s="307">
        <v>31450</v>
      </c>
      <c r="AV23" s="307">
        <v>31510</v>
      </c>
      <c r="AW23" s="307">
        <v>31600</v>
      </c>
      <c r="AX23" s="307">
        <v>31700</v>
      </c>
      <c r="AY23" s="307">
        <v>31800</v>
      </c>
      <c r="AZ23" s="307">
        <v>31910</v>
      </c>
      <c r="BA23" s="307">
        <v>32000</v>
      </c>
      <c r="BB23" s="307">
        <v>32090</v>
      </c>
      <c r="BC23" s="307">
        <v>32170</v>
      </c>
      <c r="BD23" s="307">
        <v>32250</v>
      </c>
      <c r="BE23" s="307">
        <v>32310</v>
      </c>
      <c r="BF23" s="307">
        <v>32380</v>
      </c>
    </row>
    <row r="24" spans="1:58" x14ac:dyDescent="0.2">
      <c r="A24" s="308" t="s">
        <v>20</v>
      </c>
      <c r="B24" s="305"/>
      <c r="C24" s="307">
        <v>33590</v>
      </c>
      <c r="D24" s="307">
        <v>32930</v>
      </c>
      <c r="E24" s="307">
        <v>32550</v>
      </c>
      <c r="F24" s="307">
        <v>31850</v>
      </c>
      <c r="G24" s="307">
        <v>31900</v>
      </c>
      <c r="H24" s="307">
        <v>31400</v>
      </c>
      <c r="I24" s="307">
        <v>30020</v>
      </c>
      <c r="J24" s="307">
        <v>30020</v>
      </c>
      <c r="K24" s="307">
        <v>29560</v>
      </c>
      <c r="L24" s="307">
        <v>30280</v>
      </c>
      <c r="M24" s="307">
        <v>29660</v>
      </c>
      <c r="N24" s="307">
        <v>28290</v>
      </c>
      <c r="O24" s="307">
        <v>28710</v>
      </c>
      <c r="P24" s="307">
        <v>29390</v>
      </c>
      <c r="Q24" s="307">
        <v>29170</v>
      </c>
      <c r="R24" s="307">
        <v>29690</v>
      </c>
      <c r="S24" s="307">
        <v>31010</v>
      </c>
      <c r="T24" s="307">
        <v>32190</v>
      </c>
      <c r="U24" s="307">
        <v>31880</v>
      </c>
      <c r="V24" s="307">
        <v>31730</v>
      </c>
      <c r="W24" s="307">
        <v>31170</v>
      </c>
      <c r="X24" s="307">
        <v>30390</v>
      </c>
      <c r="Y24" s="307">
        <v>30410</v>
      </c>
      <c r="Z24" s="307">
        <v>30500</v>
      </c>
      <c r="AA24" s="307">
        <v>30640</v>
      </c>
      <c r="AB24" s="307">
        <v>30820</v>
      </c>
      <c r="AC24" s="307">
        <v>31010</v>
      </c>
      <c r="AD24" s="307">
        <v>31210</v>
      </c>
      <c r="AE24" s="307">
        <v>31400</v>
      </c>
      <c r="AF24" s="307">
        <v>31570</v>
      </c>
      <c r="AG24" s="307">
        <v>31720</v>
      </c>
      <c r="AH24" s="307">
        <v>31840</v>
      </c>
      <c r="AI24" s="307">
        <v>31930</v>
      </c>
      <c r="AJ24" s="307">
        <v>31990</v>
      </c>
      <c r="AK24" s="307">
        <v>32020</v>
      </c>
      <c r="AL24" s="307">
        <v>32020</v>
      </c>
      <c r="AM24" s="307">
        <v>31990</v>
      </c>
      <c r="AN24" s="307">
        <v>31940</v>
      </c>
      <c r="AO24" s="307">
        <v>31870</v>
      </c>
      <c r="AP24" s="307">
        <v>31780</v>
      </c>
      <c r="AQ24" s="307">
        <v>31700</v>
      </c>
      <c r="AR24" s="307">
        <v>31620</v>
      </c>
      <c r="AS24" s="307">
        <v>31550</v>
      </c>
      <c r="AT24" s="307">
        <v>31510</v>
      </c>
      <c r="AU24" s="307">
        <v>31510</v>
      </c>
      <c r="AV24" s="307">
        <v>31540</v>
      </c>
      <c r="AW24" s="307">
        <v>31610</v>
      </c>
      <c r="AX24" s="307">
        <v>31690</v>
      </c>
      <c r="AY24" s="307">
        <v>31790</v>
      </c>
      <c r="AZ24" s="307">
        <v>31890</v>
      </c>
      <c r="BA24" s="307">
        <v>32000</v>
      </c>
      <c r="BB24" s="307">
        <v>32090</v>
      </c>
      <c r="BC24" s="307">
        <v>32180</v>
      </c>
      <c r="BD24" s="307">
        <v>32260</v>
      </c>
      <c r="BE24" s="307">
        <v>32340</v>
      </c>
      <c r="BF24" s="307">
        <v>32410</v>
      </c>
    </row>
    <row r="25" spans="1:58" x14ac:dyDescent="0.2">
      <c r="A25" s="308" t="s">
        <v>21</v>
      </c>
      <c r="B25" s="305"/>
      <c r="C25" s="307">
        <v>32610</v>
      </c>
      <c r="D25" s="307">
        <v>33750</v>
      </c>
      <c r="E25" s="307">
        <v>33040</v>
      </c>
      <c r="F25" s="307">
        <v>32710</v>
      </c>
      <c r="G25" s="307">
        <v>32150</v>
      </c>
      <c r="H25" s="307">
        <v>32080</v>
      </c>
      <c r="I25" s="307">
        <v>31450</v>
      </c>
      <c r="J25" s="307">
        <v>30100</v>
      </c>
      <c r="K25" s="307">
        <v>30140</v>
      </c>
      <c r="L25" s="307">
        <v>29710</v>
      </c>
      <c r="M25" s="307">
        <v>30430</v>
      </c>
      <c r="N25" s="307">
        <v>29810</v>
      </c>
      <c r="O25" s="307">
        <v>28440</v>
      </c>
      <c r="P25" s="307">
        <v>28860</v>
      </c>
      <c r="Q25" s="307">
        <v>29540</v>
      </c>
      <c r="R25" s="307">
        <v>29320</v>
      </c>
      <c r="S25" s="307">
        <v>29840</v>
      </c>
      <c r="T25" s="307">
        <v>31160</v>
      </c>
      <c r="U25" s="307">
        <v>32340</v>
      </c>
      <c r="V25" s="307">
        <v>32030</v>
      </c>
      <c r="W25" s="307">
        <v>31880</v>
      </c>
      <c r="X25" s="307">
        <v>31320</v>
      </c>
      <c r="Y25" s="307">
        <v>30550</v>
      </c>
      <c r="Z25" s="307">
        <v>30560</v>
      </c>
      <c r="AA25" s="307">
        <v>30650</v>
      </c>
      <c r="AB25" s="307">
        <v>30790</v>
      </c>
      <c r="AC25" s="307">
        <v>30970</v>
      </c>
      <c r="AD25" s="307">
        <v>31170</v>
      </c>
      <c r="AE25" s="307">
        <v>31360</v>
      </c>
      <c r="AF25" s="307">
        <v>31550</v>
      </c>
      <c r="AG25" s="307">
        <v>31730</v>
      </c>
      <c r="AH25" s="307">
        <v>31880</v>
      </c>
      <c r="AI25" s="307">
        <v>32000</v>
      </c>
      <c r="AJ25" s="307">
        <v>32090</v>
      </c>
      <c r="AK25" s="307">
        <v>32140</v>
      </c>
      <c r="AL25" s="307">
        <v>32170</v>
      </c>
      <c r="AM25" s="307">
        <v>32170</v>
      </c>
      <c r="AN25" s="307">
        <v>32140</v>
      </c>
      <c r="AO25" s="307">
        <v>32090</v>
      </c>
      <c r="AP25" s="307">
        <v>32020</v>
      </c>
      <c r="AQ25" s="307">
        <v>31940</v>
      </c>
      <c r="AR25" s="307">
        <v>31850</v>
      </c>
      <c r="AS25" s="307">
        <v>31770</v>
      </c>
      <c r="AT25" s="307">
        <v>31710</v>
      </c>
      <c r="AU25" s="307">
        <v>31670</v>
      </c>
      <c r="AV25" s="307">
        <v>31660</v>
      </c>
      <c r="AW25" s="307">
        <v>31700</v>
      </c>
      <c r="AX25" s="307">
        <v>31760</v>
      </c>
      <c r="AY25" s="307">
        <v>31850</v>
      </c>
      <c r="AZ25" s="307">
        <v>31940</v>
      </c>
      <c r="BA25" s="307">
        <v>32050</v>
      </c>
      <c r="BB25" s="307">
        <v>32150</v>
      </c>
      <c r="BC25" s="307">
        <v>32250</v>
      </c>
      <c r="BD25" s="307">
        <v>32340</v>
      </c>
      <c r="BE25" s="307">
        <v>32420</v>
      </c>
      <c r="BF25" s="307">
        <v>32490</v>
      </c>
    </row>
    <row r="26" spans="1:58" x14ac:dyDescent="0.2">
      <c r="A26" s="308" t="s">
        <v>22</v>
      </c>
      <c r="B26" s="305"/>
      <c r="C26" s="307">
        <v>31820</v>
      </c>
      <c r="D26" s="307">
        <v>32790</v>
      </c>
      <c r="E26" s="307">
        <v>33980</v>
      </c>
      <c r="F26" s="307">
        <v>33230</v>
      </c>
      <c r="G26" s="307">
        <v>33070</v>
      </c>
      <c r="H26" s="307">
        <v>32340</v>
      </c>
      <c r="I26" s="307">
        <v>32190</v>
      </c>
      <c r="J26" s="307">
        <v>31590</v>
      </c>
      <c r="K26" s="307">
        <v>30280</v>
      </c>
      <c r="L26" s="307">
        <v>30360</v>
      </c>
      <c r="M26" s="307">
        <v>29930</v>
      </c>
      <c r="N26" s="307">
        <v>30650</v>
      </c>
      <c r="O26" s="307">
        <v>30030</v>
      </c>
      <c r="P26" s="307">
        <v>28670</v>
      </c>
      <c r="Q26" s="307">
        <v>29080</v>
      </c>
      <c r="R26" s="307">
        <v>29760</v>
      </c>
      <c r="S26" s="307">
        <v>29540</v>
      </c>
      <c r="T26" s="307">
        <v>30060</v>
      </c>
      <c r="U26" s="307">
        <v>31380</v>
      </c>
      <c r="V26" s="307">
        <v>32560</v>
      </c>
      <c r="W26" s="307">
        <v>32260</v>
      </c>
      <c r="X26" s="307">
        <v>32100</v>
      </c>
      <c r="Y26" s="307">
        <v>31540</v>
      </c>
      <c r="Z26" s="307">
        <v>30770</v>
      </c>
      <c r="AA26" s="307">
        <v>30790</v>
      </c>
      <c r="AB26" s="307">
        <v>30870</v>
      </c>
      <c r="AC26" s="307">
        <v>31010</v>
      </c>
      <c r="AD26" s="307">
        <v>31200</v>
      </c>
      <c r="AE26" s="307">
        <v>31390</v>
      </c>
      <c r="AF26" s="307">
        <v>31590</v>
      </c>
      <c r="AG26" s="307">
        <v>31780</v>
      </c>
      <c r="AH26" s="307">
        <v>31950</v>
      </c>
      <c r="AI26" s="307">
        <v>32100</v>
      </c>
      <c r="AJ26" s="307">
        <v>32220</v>
      </c>
      <c r="AK26" s="307">
        <v>32310</v>
      </c>
      <c r="AL26" s="307">
        <v>32370</v>
      </c>
      <c r="AM26" s="307">
        <v>32400</v>
      </c>
      <c r="AN26" s="307">
        <v>32400</v>
      </c>
      <c r="AO26" s="307">
        <v>32370</v>
      </c>
      <c r="AP26" s="307">
        <v>32320</v>
      </c>
      <c r="AQ26" s="307">
        <v>32250</v>
      </c>
      <c r="AR26" s="307">
        <v>32160</v>
      </c>
      <c r="AS26" s="307">
        <v>32080</v>
      </c>
      <c r="AT26" s="307">
        <v>32000</v>
      </c>
      <c r="AU26" s="307">
        <v>31940</v>
      </c>
      <c r="AV26" s="307">
        <v>31900</v>
      </c>
      <c r="AW26" s="307">
        <v>31890</v>
      </c>
      <c r="AX26" s="307">
        <v>31920</v>
      </c>
      <c r="AY26" s="307">
        <v>31990</v>
      </c>
      <c r="AZ26" s="307">
        <v>32070</v>
      </c>
      <c r="BA26" s="307">
        <v>32170</v>
      </c>
      <c r="BB26" s="307">
        <v>32280</v>
      </c>
      <c r="BC26" s="307">
        <v>32380</v>
      </c>
      <c r="BD26" s="307">
        <v>32480</v>
      </c>
      <c r="BE26" s="307">
        <v>32570</v>
      </c>
      <c r="BF26" s="307">
        <v>32650</v>
      </c>
    </row>
    <row r="27" spans="1:58" x14ac:dyDescent="0.2">
      <c r="A27" s="308" t="s">
        <v>23</v>
      </c>
      <c r="B27" s="305"/>
      <c r="C27" s="307">
        <v>31140</v>
      </c>
      <c r="D27" s="307">
        <v>31930</v>
      </c>
      <c r="E27" s="307">
        <v>32910</v>
      </c>
      <c r="F27" s="307">
        <v>34170</v>
      </c>
      <c r="G27" s="307">
        <v>33580</v>
      </c>
      <c r="H27" s="307">
        <v>33290</v>
      </c>
      <c r="I27" s="307">
        <v>32630</v>
      </c>
      <c r="J27" s="307">
        <v>32510</v>
      </c>
      <c r="K27" s="307">
        <v>31980</v>
      </c>
      <c r="L27" s="307">
        <v>30740</v>
      </c>
      <c r="M27" s="307">
        <v>30810</v>
      </c>
      <c r="N27" s="307">
        <v>30380</v>
      </c>
      <c r="O27" s="307">
        <v>31100</v>
      </c>
      <c r="P27" s="307">
        <v>30490</v>
      </c>
      <c r="Q27" s="307">
        <v>29120</v>
      </c>
      <c r="R27" s="307">
        <v>29540</v>
      </c>
      <c r="S27" s="307">
        <v>30210</v>
      </c>
      <c r="T27" s="307">
        <v>30000</v>
      </c>
      <c r="U27" s="307">
        <v>30520</v>
      </c>
      <c r="V27" s="307">
        <v>31840</v>
      </c>
      <c r="W27" s="307">
        <v>33010</v>
      </c>
      <c r="X27" s="307">
        <v>32710</v>
      </c>
      <c r="Y27" s="307">
        <v>32560</v>
      </c>
      <c r="Z27" s="307">
        <v>32000</v>
      </c>
      <c r="AA27" s="307">
        <v>31230</v>
      </c>
      <c r="AB27" s="307">
        <v>31240</v>
      </c>
      <c r="AC27" s="307">
        <v>31330</v>
      </c>
      <c r="AD27" s="307">
        <v>31470</v>
      </c>
      <c r="AE27" s="307">
        <v>31650</v>
      </c>
      <c r="AF27" s="307">
        <v>31850</v>
      </c>
      <c r="AG27" s="307">
        <v>32040</v>
      </c>
      <c r="AH27" s="307">
        <v>32240</v>
      </c>
      <c r="AI27" s="307">
        <v>32410</v>
      </c>
      <c r="AJ27" s="307">
        <v>32560</v>
      </c>
      <c r="AK27" s="307">
        <v>32680</v>
      </c>
      <c r="AL27" s="307">
        <v>32770</v>
      </c>
      <c r="AM27" s="307">
        <v>32830</v>
      </c>
      <c r="AN27" s="307">
        <v>32850</v>
      </c>
      <c r="AO27" s="307">
        <v>32850</v>
      </c>
      <c r="AP27" s="307">
        <v>32830</v>
      </c>
      <c r="AQ27" s="307">
        <v>32780</v>
      </c>
      <c r="AR27" s="307">
        <v>32710</v>
      </c>
      <c r="AS27" s="307">
        <v>32620</v>
      </c>
      <c r="AT27" s="307">
        <v>32540</v>
      </c>
      <c r="AU27" s="307">
        <v>32460</v>
      </c>
      <c r="AV27" s="307">
        <v>32400</v>
      </c>
      <c r="AW27" s="307">
        <v>32360</v>
      </c>
      <c r="AX27" s="307">
        <v>32350</v>
      </c>
      <c r="AY27" s="307">
        <v>32390</v>
      </c>
      <c r="AZ27" s="307">
        <v>32450</v>
      </c>
      <c r="BA27" s="307">
        <v>32540</v>
      </c>
      <c r="BB27" s="307">
        <v>32630</v>
      </c>
      <c r="BC27" s="307">
        <v>32740</v>
      </c>
      <c r="BD27" s="307">
        <v>32840</v>
      </c>
      <c r="BE27" s="307">
        <v>32940</v>
      </c>
      <c r="BF27" s="307">
        <v>33030</v>
      </c>
    </row>
    <row r="28" spans="1:58" x14ac:dyDescent="0.2">
      <c r="A28" s="308" t="s">
        <v>24</v>
      </c>
      <c r="B28" s="305"/>
      <c r="C28" s="307">
        <v>30250</v>
      </c>
      <c r="D28" s="307">
        <v>31320</v>
      </c>
      <c r="E28" s="307">
        <v>32230</v>
      </c>
      <c r="F28" s="307">
        <v>33360</v>
      </c>
      <c r="G28" s="307">
        <v>34810</v>
      </c>
      <c r="H28" s="307">
        <v>34170</v>
      </c>
      <c r="I28" s="307">
        <v>33800</v>
      </c>
      <c r="J28" s="307">
        <v>33180</v>
      </c>
      <c r="K28" s="307">
        <v>33170</v>
      </c>
      <c r="L28" s="307">
        <v>32730</v>
      </c>
      <c r="M28" s="307">
        <v>31480</v>
      </c>
      <c r="N28" s="307">
        <v>31550</v>
      </c>
      <c r="O28" s="307">
        <v>31130</v>
      </c>
      <c r="P28" s="307">
        <v>31850</v>
      </c>
      <c r="Q28" s="307">
        <v>31230</v>
      </c>
      <c r="R28" s="307">
        <v>29870</v>
      </c>
      <c r="S28" s="307">
        <v>30280</v>
      </c>
      <c r="T28" s="307">
        <v>30960</v>
      </c>
      <c r="U28" s="307">
        <v>30740</v>
      </c>
      <c r="V28" s="307">
        <v>31260</v>
      </c>
      <c r="W28" s="307">
        <v>32580</v>
      </c>
      <c r="X28" s="307">
        <v>33760</v>
      </c>
      <c r="Y28" s="307">
        <v>33460</v>
      </c>
      <c r="Z28" s="307">
        <v>33300</v>
      </c>
      <c r="AA28" s="307">
        <v>32750</v>
      </c>
      <c r="AB28" s="307">
        <v>31970</v>
      </c>
      <c r="AC28" s="307">
        <v>31990</v>
      </c>
      <c r="AD28" s="307">
        <v>32080</v>
      </c>
      <c r="AE28" s="307">
        <v>32220</v>
      </c>
      <c r="AF28" s="307">
        <v>32400</v>
      </c>
      <c r="AG28" s="307">
        <v>32600</v>
      </c>
      <c r="AH28" s="307">
        <v>32790</v>
      </c>
      <c r="AI28" s="307">
        <v>32990</v>
      </c>
      <c r="AJ28" s="307">
        <v>33160</v>
      </c>
      <c r="AK28" s="307">
        <v>33310</v>
      </c>
      <c r="AL28" s="307">
        <v>33430</v>
      </c>
      <c r="AM28" s="307">
        <v>33520</v>
      </c>
      <c r="AN28" s="307">
        <v>33580</v>
      </c>
      <c r="AO28" s="307">
        <v>33610</v>
      </c>
      <c r="AP28" s="307">
        <v>33610</v>
      </c>
      <c r="AQ28" s="307">
        <v>33580</v>
      </c>
      <c r="AR28" s="307">
        <v>33530</v>
      </c>
      <c r="AS28" s="307">
        <v>33460</v>
      </c>
      <c r="AT28" s="307">
        <v>33380</v>
      </c>
      <c r="AU28" s="307">
        <v>33290</v>
      </c>
      <c r="AV28" s="307">
        <v>33210</v>
      </c>
      <c r="AW28" s="307">
        <v>33150</v>
      </c>
      <c r="AX28" s="307">
        <v>33110</v>
      </c>
      <c r="AY28" s="307">
        <v>33110</v>
      </c>
      <c r="AZ28" s="307">
        <v>33140</v>
      </c>
      <c r="BA28" s="307">
        <v>33210</v>
      </c>
      <c r="BB28" s="307">
        <v>33290</v>
      </c>
      <c r="BC28" s="307">
        <v>33390</v>
      </c>
      <c r="BD28" s="307">
        <v>33500</v>
      </c>
      <c r="BE28" s="307">
        <v>33600</v>
      </c>
      <c r="BF28" s="307">
        <v>33700</v>
      </c>
    </row>
    <row r="29" spans="1:58" x14ac:dyDescent="0.2">
      <c r="A29" s="308" t="s">
        <v>25</v>
      </c>
      <c r="B29" s="305"/>
      <c r="C29" s="307">
        <v>29830</v>
      </c>
      <c r="D29" s="307">
        <v>30430</v>
      </c>
      <c r="E29" s="307">
        <v>31640</v>
      </c>
      <c r="F29" s="307">
        <v>32790</v>
      </c>
      <c r="G29" s="307">
        <v>34170</v>
      </c>
      <c r="H29" s="307">
        <v>35620</v>
      </c>
      <c r="I29" s="307">
        <v>34650</v>
      </c>
      <c r="J29" s="307">
        <v>34330</v>
      </c>
      <c r="K29" s="307">
        <v>33820</v>
      </c>
      <c r="L29" s="307">
        <v>33890</v>
      </c>
      <c r="M29" s="307">
        <v>33450</v>
      </c>
      <c r="N29" s="307">
        <v>32200</v>
      </c>
      <c r="O29" s="307">
        <v>32270</v>
      </c>
      <c r="P29" s="307">
        <v>31850</v>
      </c>
      <c r="Q29" s="307">
        <v>32570</v>
      </c>
      <c r="R29" s="307">
        <v>31950</v>
      </c>
      <c r="S29" s="307">
        <v>30590</v>
      </c>
      <c r="T29" s="307">
        <v>31010</v>
      </c>
      <c r="U29" s="307">
        <v>31680</v>
      </c>
      <c r="V29" s="307">
        <v>31470</v>
      </c>
      <c r="W29" s="307">
        <v>31990</v>
      </c>
      <c r="X29" s="307">
        <v>33310</v>
      </c>
      <c r="Y29" s="307">
        <v>34480</v>
      </c>
      <c r="Z29" s="307">
        <v>34180</v>
      </c>
      <c r="AA29" s="307">
        <v>34030</v>
      </c>
      <c r="AB29" s="307">
        <v>33470</v>
      </c>
      <c r="AC29" s="307">
        <v>32700</v>
      </c>
      <c r="AD29" s="307">
        <v>32720</v>
      </c>
      <c r="AE29" s="307">
        <v>32800</v>
      </c>
      <c r="AF29" s="307">
        <v>32950</v>
      </c>
      <c r="AG29" s="307">
        <v>33130</v>
      </c>
      <c r="AH29" s="307">
        <v>33330</v>
      </c>
      <c r="AI29" s="307">
        <v>33520</v>
      </c>
      <c r="AJ29" s="307">
        <v>33710</v>
      </c>
      <c r="AK29" s="307">
        <v>33890</v>
      </c>
      <c r="AL29" s="307">
        <v>34040</v>
      </c>
      <c r="AM29" s="307">
        <v>34160</v>
      </c>
      <c r="AN29" s="307">
        <v>34250</v>
      </c>
      <c r="AO29" s="307">
        <v>34310</v>
      </c>
      <c r="AP29" s="307">
        <v>34340</v>
      </c>
      <c r="AQ29" s="307">
        <v>34340</v>
      </c>
      <c r="AR29" s="307">
        <v>34310</v>
      </c>
      <c r="AS29" s="307">
        <v>34260</v>
      </c>
      <c r="AT29" s="307">
        <v>34190</v>
      </c>
      <c r="AU29" s="307">
        <v>34110</v>
      </c>
      <c r="AV29" s="307">
        <v>34020</v>
      </c>
      <c r="AW29" s="307">
        <v>33950</v>
      </c>
      <c r="AX29" s="307">
        <v>33880</v>
      </c>
      <c r="AY29" s="307">
        <v>33850</v>
      </c>
      <c r="AZ29" s="307">
        <v>33840</v>
      </c>
      <c r="BA29" s="307">
        <v>33870</v>
      </c>
      <c r="BB29" s="307">
        <v>33940</v>
      </c>
      <c r="BC29" s="307">
        <v>34030</v>
      </c>
      <c r="BD29" s="307">
        <v>34120</v>
      </c>
      <c r="BE29" s="307">
        <v>34230</v>
      </c>
      <c r="BF29" s="307">
        <v>34330</v>
      </c>
    </row>
    <row r="30" spans="1:58" x14ac:dyDescent="0.2">
      <c r="A30" s="308" t="s">
        <v>26</v>
      </c>
      <c r="B30" s="305"/>
      <c r="C30" s="307">
        <v>29560</v>
      </c>
      <c r="D30" s="307">
        <v>29780</v>
      </c>
      <c r="E30" s="307">
        <v>30490</v>
      </c>
      <c r="F30" s="307">
        <v>32040</v>
      </c>
      <c r="G30" s="307">
        <v>33360</v>
      </c>
      <c r="H30" s="307">
        <v>34700</v>
      </c>
      <c r="I30" s="307">
        <v>35840</v>
      </c>
      <c r="J30" s="307">
        <v>34920</v>
      </c>
      <c r="K30" s="307">
        <v>34720</v>
      </c>
      <c r="L30" s="307">
        <v>34300</v>
      </c>
      <c r="M30" s="307">
        <v>34370</v>
      </c>
      <c r="N30" s="307">
        <v>33920</v>
      </c>
      <c r="O30" s="307">
        <v>32680</v>
      </c>
      <c r="P30" s="307">
        <v>32750</v>
      </c>
      <c r="Q30" s="307">
        <v>32330</v>
      </c>
      <c r="R30" s="307">
        <v>33050</v>
      </c>
      <c r="S30" s="307">
        <v>32430</v>
      </c>
      <c r="T30" s="307">
        <v>31070</v>
      </c>
      <c r="U30" s="307">
        <v>31490</v>
      </c>
      <c r="V30" s="307">
        <v>32160</v>
      </c>
      <c r="W30" s="307">
        <v>31950</v>
      </c>
      <c r="X30" s="307">
        <v>32470</v>
      </c>
      <c r="Y30" s="307">
        <v>33790</v>
      </c>
      <c r="Z30" s="307">
        <v>34960</v>
      </c>
      <c r="AA30" s="307">
        <v>34660</v>
      </c>
      <c r="AB30" s="307">
        <v>34510</v>
      </c>
      <c r="AC30" s="307">
        <v>33950</v>
      </c>
      <c r="AD30" s="307">
        <v>33180</v>
      </c>
      <c r="AE30" s="307">
        <v>33200</v>
      </c>
      <c r="AF30" s="307">
        <v>33290</v>
      </c>
      <c r="AG30" s="307">
        <v>33430</v>
      </c>
      <c r="AH30" s="307">
        <v>33610</v>
      </c>
      <c r="AI30" s="307">
        <v>33810</v>
      </c>
      <c r="AJ30" s="307">
        <v>34010</v>
      </c>
      <c r="AK30" s="307">
        <v>34200</v>
      </c>
      <c r="AL30" s="307">
        <v>34380</v>
      </c>
      <c r="AM30" s="307">
        <v>34520</v>
      </c>
      <c r="AN30" s="307">
        <v>34650</v>
      </c>
      <c r="AO30" s="307">
        <v>34740</v>
      </c>
      <c r="AP30" s="307">
        <v>34800</v>
      </c>
      <c r="AQ30" s="307">
        <v>34820</v>
      </c>
      <c r="AR30" s="307">
        <v>34830</v>
      </c>
      <c r="AS30" s="307">
        <v>34800</v>
      </c>
      <c r="AT30" s="307">
        <v>34750</v>
      </c>
      <c r="AU30" s="307">
        <v>34680</v>
      </c>
      <c r="AV30" s="307">
        <v>34600</v>
      </c>
      <c r="AW30" s="307">
        <v>34510</v>
      </c>
      <c r="AX30" s="307">
        <v>34440</v>
      </c>
      <c r="AY30" s="307">
        <v>34370</v>
      </c>
      <c r="AZ30" s="307">
        <v>34340</v>
      </c>
      <c r="BA30" s="307">
        <v>34330</v>
      </c>
      <c r="BB30" s="307">
        <v>34370</v>
      </c>
      <c r="BC30" s="307">
        <v>34430</v>
      </c>
      <c r="BD30" s="307">
        <v>34520</v>
      </c>
      <c r="BE30" s="307">
        <v>34620</v>
      </c>
      <c r="BF30" s="307">
        <v>34720</v>
      </c>
    </row>
    <row r="31" spans="1:58" x14ac:dyDescent="0.2">
      <c r="A31" s="308" t="s">
        <v>27</v>
      </c>
      <c r="B31" s="305"/>
      <c r="C31" s="307">
        <v>29400</v>
      </c>
      <c r="D31" s="307">
        <v>29250</v>
      </c>
      <c r="E31" s="307">
        <v>29710</v>
      </c>
      <c r="F31" s="307">
        <v>30780</v>
      </c>
      <c r="G31" s="307">
        <v>32470</v>
      </c>
      <c r="H31" s="307">
        <v>33620</v>
      </c>
      <c r="I31" s="307">
        <v>34700</v>
      </c>
      <c r="J31" s="307">
        <v>35900</v>
      </c>
      <c r="K31" s="307">
        <v>35130</v>
      </c>
      <c r="L31" s="307">
        <v>35020</v>
      </c>
      <c r="M31" s="307">
        <v>34610</v>
      </c>
      <c r="N31" s="307">
        <v>34670</v>
      </c>
      <c r="O31" s="307">
        <v>34230</v>
      </c>
      <c r="P31" s="307">
        <v>32990</v>
      </c>
      <c r="Q31" s="307">
        <v>33060</v>
      </c>
      <c r="R31" s="307">
        <v>32640</v>
      </c>
      <c r="S31" s="307">
        <v>33350</v>
      </c>
      <c r="T31" s="307">
        <v>32740</v>
      </c>
      <c r="U31" s="307">
        <v>31380</v>
      </c>
      <c r="V31" s="307">
        <v>31800</v>
      </c>
      <c r="W31" s="307">
        <v>32470</v>
      </c>
      <c r="X31" s="307">
        <v>32260</v>
      </c>
      <c r="Y31" s="307">
        <v>32780</v>
      </c>
      <c r="Z31" s="307">
        <v>34100</v>
      </c>
      <c r="AA31" s="307">
        <v>35280</v>
      </c>
      <c r="AB31" s="307">
        <v>34970</v>
      </c>
      <c r="AC31" s="307">
        <v>34820</v>
      </c>
      <c r="AD31" s="307">
        <v>34270</v>
      </c>
      <c r="AE31" s="307">
        <v>33500</v>
      </c>
      <c r="AF31" s="307">
        <v>33520</v>
      </c>
      <c r="AG31" s="307">
        <v>33600</v>
      </c>
      <c r="AH31" s="307">
        <v>33750</v>
      </c>
      <c r="AI31" s="307">
        <v>33930</v>
      </c>
      <c r="AJ31" s="307">
        <v>34130</v>
      </c>
      <c r="AK31" s="307">
        <v>34320</v>
      </c>
      <c r="AL31" s="307">
        <v>34520</v>
      </c>
      <c r="AM31" s="307">
        <v>34690</v>
      </c>
      <c r="AN31" s="307">
        <v>34840</v>
      </c>
      <c r="AO31" s="307">
        <v>34960</v>
      </c>
      <c r="AP31" s="307">
        <v>35050</v>
      </c>
      <c r="AQ31" s="307">
        <v>35110</v>
      </c>
      <c r="AR31" s="307">
        <v>35140</v>
      </c>
      <c r="AS31" s="307">
        <v>35140</v>
      </c>
      <c r="AT31" s="307">
        <v>35120</v>
      </c>
      <c r="AU31" s="307">
        <v>35070</v>
      </c>
      <c r="AV31" s="307">
        <v>35000</v>
      </c>
      <c r="AW31" s="307">
        <v>34920</v>
      </c>
      <c r="AX31" s="307">
        <v>34830</v>
      </c>
      <c r="AY31" s="307">
        <v>34760</v>
      </c>
      <c r="AZ31" s="307">
        <v>34690</v>
      </c>
      <c r="BA31" s="307">
        <v>34660</v>
      </c>
      <c r="BB31" s="307">
        <v>34650</v>
      </c>
      <c r="BC31" s="307">
        <v>34690</v>
      </c>
      <c r="BD31" s="307">
        <v>34750</v>
      </c>
      <c r="BE31" s="307">
        <v>34840</v>
      </c>
      <c r="BF31" s="307">
        <v>34940</v>
      </c>
    </row>
    <row r="32" spans="1:58" x14ac:dyDescent="0.2">
      <c r="A32" s="308" t="s">
        <v>28</v>
      </c>
      <c r="B32" s="305"/>
      <c r="C32" s="307">
        <v>29090</v>
      </c>
      <c r="D32" s="307">
        <v>29020</v>
      </c>
      <c r="E32" s="307">
        <v>29140</v>
      </c>
      <c r="F32" s="307">
        <v>29940</v>
      </c>
      <c r="G32" s="307">
        <v>31100</v>
      </c>
      <c r="H32" s="307">
        <v>32590</v>
      </c>
      <c r="I32" s="307">
        <v>33530</v>
      </c>
      <c r="J32" s="307">
        <v>34690</v>
      </c>
      <c r="K32" s="307">
        <v>36030</v>
      </c>
      <c r="L32" s="307">
        <v>35370</v>
      </c>
      <c r="M32" s="307">
        <v>35260</v>
      </c>
      <c r="N32" s="307">
        <v>34850</v>
      </c>
      <c r="O32" s="307">
        <v>34920</v>
      </c>
      <c r="P32" s="307">
        <v>34470</v>
      </c>
      <c r="Q32" s="307">
        <v>33230</v>
      </c>
      <c r="R32" s="307">
        <v>33300</v>
      </c>
      <c r="S32" s="307">
        <v>32880</v>
      </c>
      <c r="T32" s="307">
        <v>33600</v>
      </c>
      <c r="U32" s="307">
        <v>32990</v>
      </c>
      <c r="V32" s="307">
        <v>31630</v>
      </c>
      <c r="W32" s="307">
        <v>32050</v>
      </c>
      <c r="X32" s="307">
        <v>32720</v>
      </c>
      <c r="Y32" s="307">
        <v>32510</v>
      </c>
      <c r="Z32" s="307">
        <v>33030</v>
      </c>
      <c r="AA32" s="307">
        <v>34350</v>
      </c>
      <c r="AB32" s="307">
        <v>35520</v>
      </c>
      <c r="AC32" s="307">
        <v>35220</v>
      </c>
      <c r="AD32" s="307">
        <v>35070</v>
      </c>
      <c r="AE32" s="307">
        <v>34520</v>
      </c>
      <c r="AF32" s="307">
        <v>33750</v>
      </c>
      <c r="AG32" s="307">
        <v>33770</v>
      </c>
      <c r="AH32" s="307">
        <v>33860</v>
      </c>
      <c r="AI32" s="307">
        <v>34000</v>
      </c>
      <c r="AJ32" s="307">
        <v>34180</v>
      </c>
      <c r="AK32" s="307">
        <v>34380</v>
      </c>
      <c r="AL32" s="307">
        <v>34580</v>
      </c>
      <c r="AM32" s="307">
        <v>34770</v>
      </c>
      <c r="AN32" s="307">
        <v>34950</v>
      </c>
      <c r="AO32" s="307">
        <v>35090</v>
      </c>
      <c r="AP32" s="307">
        <v>35220</v>
      </c>
      <c r="AQ32" s="307">
        <v>35310</v>
      </c>
      <c r="AR32" s="307">
        <v>35370</v>
      </c>
      <c r="AS32" s="307">
        <v>35400</v>
      </c>
      <c r="AT32" s="307">
        <v>35400</v>
      </c>
      <c r="AU32" s="307">
        <v>35370</v>
      </c>
      <c r="AV32" s="307">
        <v>35330</v>
      </c>
      <c r="AW32" s="307">
        <v>35260</v>
      </c>
      <c r="AX32" s="307">
        <v>35180</v>
      </c>
      <c r="AY32" s="307">
        <v>35090</v>
      </c>
      <c r="AZ32" s="307">
        <v>35010</v>
      </c>
      <c r="BA32" s="307">
        <v>34950</v>
      </c>
      <c r="BB32" s="307">
        <v>34910</v>
      </c>
      <c r="BC32" s="307">
        <v>34910</v>
      </c>
      <c r="BD32" s="307">
        <v>34950</v>
      </c>
      <c r="BE32" s="307">
        <v>35010</v>
      </c>
      <c r="BF32" s="307">
        <v>35100</v>
      </c>
    </row>
    <row r="33" spans="1:58" x14ac:dyDescent="0.2">
      <c r="A33" s="308" t="s">
        <v>29</v>
      </c>
      <c r="B33" s="305"/>
      <c r="C33" s="307">
        <v>27970</v>
      </c>
      <c r="D33" s="307">
        <v>28790</v>
      </c>
      <c r="E33" s="307">
        <v>28830</v>
      </c>
      <c r="F33" s="307">
        <v>29390</v>
      </c>
      <c r="G33" s="307">
        <v>30300</v>
      </c>
      <c r="H33" s="307">
        <v>31120</v>
      </c>
      <c r="I33" s="307">
        <v>32480</v>
      </c>
      <c r="J33" s="307">
        <v>33490</v>
      </c>
      <c r="K33" s="307">
        <v>34790</v>
      </c>
      <c r="L33" s="307">
        <v>36240</v>
      </c>
      <c r="M33" s="307">
        <v>35580</v>
      </c>
      <c r="N33" s="307">
        <v>35480</v>
      </c>
      <c r="O33" s="307">
        <v>35060</v>
      </c>
      <c r="P33" s="307">
        <v>35130</v>
      </c>
      <c r="Q33" s="307">
        <v>34690</v>
      </c>
      <c r="R33" s="307">
        <v>33450</v>
      </c>
      <c r="S33" s="307">
        <v>33520</v>
      </c>
      <c r="T33" s="307">
        <v>33100</v>
      </c>
      <c r="U33" s="307">
        <v>33820</v>
      </c>
      <c r="V33" s="307">
        <v>33210</v>
      </c>
      <c r="W33" s="307">
        <v>31850</v>
      </c>
      <c r="X33" s="307">
        <v>32270</v>
      </c>
      <c r="Y33" s="307">
        <v>32940</v>
      </c>
      <c r="Z33" s="307">
        <v>32730</v>
      </c>
      <c r="AA33" s="307">
        <v>33250</v>
      </c>
      <c r="AB33" s="307">
        <v>34570</v>
      </c>
      <c r="AC33" s="307">
        <v>35740</v>
      </c>
      <c r="AD33" s="307">
        <v>35440</v>
      </c>
      <c r="AE33" s="307">
        <v>35290</v>
      </c>
      <c r="AF33" s="307">
        <v>34740</v>
      </c>
      <c r="AG33" s="307">
        <v>33970</v>
      </c>
      <c r="AH33" s="307">
        <v>33990</v>
      </c>
      <c r="AI33" s="307">
        <v>34080</v>
      </c>
      <c r="AJ33" s="307">
        <v>34220</v>
      </c>
      <c r="AK33" s="307">
        <v>34410</v>
      </c>
      <c r="AL33" s="307">
        <v>34600</v>
      </c>
      <c r="AM33" s="307">
        <v>34800</v>
      </c>
      <c r="AN33" s="307">
        <v>35000</v>
      </c>
      <c r="AO33" s="307">
        <v>35170</v>
      </c>
      <c r="AP33" s="307">
        <v>35320</v>
      </c>
      <c r="AQ33" s="307">
        <v>35440</v>
      </c>
      <c r="AR33" s="307">
        <v>35530</v>
      </c>
      <c r="AS33" s="307">
        <v>35590</v>
      </c>
      <c r="AT33" s="307">
        <v>35620</v>
      </c>
      <c r="AU33" s="307">
        <v>35630</v>
      </c>
      <c r="AV33" s="307">
        <v>35600</v>
      </c>
      <c r="AW33" s="307">
        <v>35550</v>
      </c>
      <c r="AX33" s="307">
        <v>35480</v>
      </c>
      <c r="AY33" s="307">
        <v>35400</v>
      </c>
      <c r="AZ33" s="307">
        <v>35320</v>
      </c>
      <c r="BA33" s="307">
        <v>35240</v>
      </c>
      <c r="BB33" s="307">
        <v>35180</v>
      </c>
      <c r="BC33" s="307">
        <v>35140</v>
      </c>
      <c r="BD33" s="307">
        <v>35140</v>
      </c>
      <c r="BE33" s="307">
        <v>35170</v>
      </c>
      <c r="BF33" s="307">
        <v>35240</v>
      </c>
    </row>
    <row r="34" spans="1:58" x14ac:dyDescent="0.2">
      <c r="A34" s="308" t="s">
        <v>30</v>
      </c>
      <c r="B34" s="305"/>
      <c r="C34" s="307">
        <v>26850</v>
      </c>
      <c r="D34" s="307">
        <v>27710</v>
      </c>
      <c r="E34" s="307">
        <v>28610</v>
      </c>
      <c r="F34" s="307">
        <v>29000</v>
      </c>
      <c r="G34" s="307">
        <v>29630</v>
      </c>
      <c r="H34" s="307">
        <v>30310</v>
      </c>
      <c r="I34" s="307">
        <v>31000</v>
      </c>
      <c r="J34" s="307">
        <v>32410</v>
      </c>
      <c r="K34" s="307">
        <v>33580</v>
      </c>
      <c r="L34" s="307">
        <v>34990</v>
      </c>
      <c r="M34" s="307">
        <v>36440</v>
      </c>
      <c r="N34" s="307">
        <v>35780</v>
      </c>
      <c r="O34" s="307">
        <v>35680</v>
      </c>
      <c r="P34" s="307">
        <v>35260</v>
      </c>
      <c r="Q34" s="307">
        <v>35330</v>
      </c>
      <c r="R34" s="307">
        <v>34890</v>
      </c>
      <c r="S34" s="307">
        <v>33650</v>
      </c>
      <c r="T34" s="307">
        <v>33720</v>
      </c>
      <c r="U34" s="307">
        <v>33300</v>
      </c>
      <c r="V34" s="307">
        <v>34020</v>
      </c>
      <c r="W34" s="307">
        <v>33410</v>
      </c>
      <c r="X34" s="307">
        <v>32050</v>
      </c>
      <c r="Y34" s="307">
        <v>32470</v>
      </c>
      <c r="Z34" s="307">
        <v>33150</v>
      </c>
      <c r="AA34" s="307">
        <v>32940</v>
      </c>
      <c r="AB34" s="307">
        <v>33460</v>
      </c>
      <c r="AC34" s="307">
        <v>34770</v>
      </c>
      <c r="AD34" s="307">
        <v>35950</v>
      </c>
      <c r="AE34" s="307">
        <v>35650</v>
      </c>
      <c r="AF34" s="307">
        <v>35500</v>
      </c>
      <c r="AG34" s="307">
        <v>34950</v>
      </c>
      <c r="AH34" s="307">
        <v>34180</v>
      </c>
      <c r="AI34" s="307">
        <v>34200</v>
      </c>
      <c r="AJ34" s="307">
        <v>34290</v>
      </c>
      <c r="AK34" s="307">
        <v>34430</v>
      </c>
      <c r="AL34" s="307">
        <v>34610</v>
      </c>
      <c r="AM34" s="307">
        <v>34810</v>
      </c>
      <c r="AN34" s="307">
        <v>35010</v>
      </c>
      <c r="AO34" s="307">
        <v>35200</v>
      </c>
      <c r="AP34" s="307">
        <v>35380</v>
      </c>
      <c r="AQ34" s="307">
        <v>35530</v>
      </c>
      <c r="AR34" s="307">
        <v>35650</v>
      </c>
      <c r="AS34" s="307">
        <v>35740</v>
      </c>
      <c r="AT34" s="307">
        <v>35800</v>
      </c>
      <c r="AU34" s="307">
        <v>35830</v>
      </c>
      <c r="AV34" s="307">
        <v>35830</v>
      </c>
      <c r="AW34" s="307">
        <v>35810</v>
      </c>
      <c r="AX34" s="307">
        <v>35760</v>
      </c>
      <c r="AY34" s="307">
        <v>35690</v>
      </c>
      <c r="AZ34" s="307">
        <v>35610</v>
      </c>
      <c r="BA34" s="307">
        <v>35530</v>
      </c>
      <c r="BB34" s="307">
        <v>35450</v>
      </c>
      <c r="BC34" s="307">
        <v>35390</v>
      </c>
      <c r="BD34" s="307">
        <v>35360</v>
      </c>
      <c r="BE34" s="307">
        <v>35350</v>
      </c>
      <c r="BF34" s="307">
        <v>35390</v>
      </c>
    </row>
    <row r="35" spans="1:58" x14ac:dyDescent="0.2">
      <c r="A35" s="308" t="s">
        <v>31</v>
      </c>
      <c r="B35" s="305"/>
      <c r="C35" s="307">
        <v>25810</v>
      </c>
      <c r="D35" s="307">
        <v>26740</v>
      </c>
      <c r="E35" s="307">
        <v>27500</v>
      </c>
      <c r="F35" s="307">
        <v>28700</v>
      </c>
      <c r="G35" s="307">
        <v>29300</v>
      </c>
      <c r="H35" s="307">
        <v>29620</v>
      </c>
      <c r="I35" s="307">
        <v>30210</v>
      </c>
      <c r="J35" s="307">
        <v>30950</v>
      </c>
      <c r="K35" s="307">
        <v>32520</v>
      </c>
      <c r="L35" s="307">
        <v>33790</v>
      </c>
      <c r="M35" s="307">
        <v>35200</v>
      </c>
      <c r="N35" s="307">
        <v>36650</v>
      </c>
      <c r="O35" s="307">
        <v>35990</v>
      </c>
      <c r="P35" s="307">
        <v>35890</v>
      </c>
      <c r="Q35" s="307">
        <v>35470</v>
      </c>
      <c r="R35" s="307">
        <v>35540</v>
      </c>
      <c r="S35" s="307">
        <v>35100</v>
      </c>
      <c r="T35" s="307">
        <v>33860</v>
      </c>
      <c r="U35" s="307">
        <v>33930</v>
      </c>
      <c r="V35" s="307">
        <v>33520</v>
      </c>
      <c r="W35" s="307">
        <v>34230</v>
      </c>
      <c r="X35" s="307">
        <v>33630</v>
      </c>
      <c r="Y35" s="307">
        <v>32270</v>
      </c>
      <c r="Z35" s="307">
        <v>32690</v>
      </c>
      <c r="AA35" s="307">
        <v>33360</v>
      </c>
      <c r="AB35" s="307">
        <v>33150</v>
      </c>
      <c r="AC35" s="307">
        <v>33670</v>
      </c>
      <c r="AD35" s="307">
        <v>34990</v>
      </c>
      <c r="AE35" s="307">
        <v>36160</v>
      </c>
      <c r="AF35" s="307">
        <v>35860</v>
      </c>
      <c r="AG35" s="307">
        <v>35710</v>
      </c>
      <c r="AH35" s="307">
        <v>35160</v>
      </c>
      <c r="AI35" s="307">
        <v>34400</v>
      </c>
      <c r="AJ35" s="307">
        <v>34420</v>
      </c>
      <c r="AK35" s="307">
        <v>34500</v>
      </c>
      <c r="AL35" s="307">
        <v>34650</v>
      </c>
      <c r="AM35" s="307">
        <v>34830</v>
      </c>
      <c r="AN35" s="307">
        <v>35030</v>
      </c>
      <c r="AO35" s="307">
        <v>35230</v>
      </c>
      <c r="AP35" s="307">
        <v>35420</v>
      </c>
      <c r="AQ35" s="307">
        <v>35600</v>
      </c>
      <c r="AR35" s="307">
        <v>35750</v>
      </c>
      <c r="AS35" s="307">
        <v>35870</v>
      </c>
      <c r="AT35" s="307">
        <v>35960</v>
      </c>
      <c r="AU35" s="307">
        <v>36020</v>
      </c>
      <c r="AV35" s="307">
        <v>36050</v>
      </c>
      <c r="AW35" s="307">
        <v>36060</v>
      </c>
      <c r="AX35" s="307">
        <v>36030</v>
      </c>
      <c r="AY35" s="307">
        <v>35980</v>
      </c>
      <c r="AZ35" s="307">
        <v>35920</v>
      </c>
      <c r="BA35" s="307">
        <v>35840</v>
      </c>
      <c r="BB35" s="307">
        <v>35750</v>
      </c>
      <c r="BC35" s="307">
        <v>35680</v>
      </c>
      <c r="BD35" s="307">
        <v>35610</v>
      </c>
      <c r="BE35" s="307">
        <v>35580</v>
      </c>
      <c r="BF35" s="307">
        <v>35580</v>
      </c>
    </row>
    <row r="36" spans="1:58" x14ac:dyDescent="0.2">
      <c r="A36" s="308" t="s">
        <v>32</v>
      </c>
      <c r="B36" s="305"/>
      <c r="C36" s="307">
        <v>24950</v>
      </c>
      <c r="D36" s="307">
        <v>25770</v>
      </c>
      <c r="E36" s="307">
        <v>26660</v>
      </c>
      <c r="F36" s="307">
        <v>27690</v>
      </c>
      <c r="G36" s="307">
        <v>29060</v>
      </c>
      <c r="H36" s="307">
        <v>29240</v>
      </c>
      <c r="I36" s="307">
        <v>29570</v>
      </c>
      <c r="J36" s="307">
        <v>30220</v>
      </c>
      <c r="K36" s="307">
        <v>31110</v>
      </c>
      <c r="L36" s="307">
        <v>32770</v>
      </c>
      <c r="M36" s="307">
        <v>34040</v>
      </c>
      <c r="N36" s="307">
        <v>35450</v>
      </c>
      <c r="O36" s="307">
        <v>36900</v>
      </c>
      <c r="P36" s="307">
        <v>36240</v>
      </c>
      <c r="Q36" s="307">
        <v>36140</v>
      </c>
      <c r="R36" s="307">
        <v>35720</v>
      </c>
      <c r="S36" s="307">
        <v>35790</v>
      </c>
      <c r="T36" s="307">
        <v>35350</v>
      </c>
      <c r="U36" s="307">
        <v>34110</v>
      </c>
      <c r="V36" s="307">
        <v>34190</v>
      </c>
      <c r="W36" s="307">
        <v>33770</v>
      </c>
      <c r="X36" s="307">
        <v>34490</v>
      </c>
      <c r="Y36" s="307">
        <v>33880</v>
      </c>
      <c r="Z36" s="307">
        <v>32530</v>
      </c>
      <c r="AA36" s="307">
        <v>32940</v>
      </c>
      <c r="AB36" s="307">
        <v>33620</v>
      </c>
      <c r="AC36" s="307">
        <v>33410</v>
      </c>
      <c r="AD36" s="307">
        <v>33930</v>
      </c>
      <c r="AE36" s="307">
        <v>35250</v>
      </c>
      <c r="AF36" s="307">
        <v>36420</v>
      </c>
      <c r="AG36" s="307">
        <v>36120</v>
      </c>
      <c r="AH36" s="307">
        <v>35970</v>
      </c>
      <c r="AI36" s="307">
        <v>35420</v>
      </c>
      <c r="AJ36" s="307">
        <v>34650</v>
      </c>
      <c r="AK36" s="307">
        <v>34670</v>
      </c>
      <c r="AL36" s="307">
        <v>34760</v>
      </c>
      <c r="AM36" s="307">
        <v>34910</v>
      </c>
      <c r="AN36" s="307">
        <v>35090</v>
      </c>
      <c r="AO36" s="307">
        <v>35290</v>
      </c>
      <c r="AP36" s="307">
        <v>35490</v>
      </c>
      <c r="AQ36" s="307">
        <v>35680</v>
      </c>
      <c r="AR36" s="307">
        <v>35860</v>
      </c>
      <c r="AS36" s="307">
        <v>36010</v>
      </c>
      <c r="AT36" s="307">
        <v>36130</v>
      </c>
      <c r="AU36" s="307">
        <v>36220</v>
      </c>
      <c r="AV36" s="307">
        <v>36280</v>
      </c>
      <c r="AW36" s="307">
        <v>36310</v>
      </c>
      <c r="AX36" s="307">
        <v>36320</v>
      </c>
      <c r="AY36" s="307">
        <v>36290</v>
      </c>
      <c r="AZ36" s="307">
        <v>36250</v>
      </c>
      <c r="BA36" s="307">
        <v>36180</v>
      </c>
      <c r="BB36" s="307">
        <v>36100</v>
      </c>
      <c r="BC36" s="307">
        <v>36010</v>
      </c>
      <c r="BD36" s="307">
        <v>35940</v>
      </c>
      <c r="BE36" s="307">
        <v>35880</v>
      </c>
      <c r="BF36" s="307">
        <v>35840</v>
      </c>
    </row>
    <row r="37" spans="1:58" x14ac:dyDescent="0.2">
      <c r="A37" s="308" t="s">
        <v>33</v>
      </c>
      <c r="B37" s="305"/>
      <c r="C37" s="307">
        <v>24310</v>
      </c>
      <c r="D37" s="307">
        <v>25140</v>
      </c>
      <c r="E37" s="307">
        <v>25870</v>
      </c>
      <c r="F37" s="307">
        <v>26990</v>
      </c>
      <c r="G37" s="307">
        <v>27970</v>
      </c>
      <c r="H37" s="307">
        <v>29100</v>
      </c>
      <c r="I37" s="307">
        <v>29280</v>
      </c>
      <c r="J37" s="307">
        <v>29670</v>
      </c>
      <c r="K37" s="307">
        <v>30450</v>
      </c>
      <c r="L37" s="307">
        <v>31420</v>
      </c>
      <c r="M37" s="307">
        <v>33080</v>
      </c>
      <c r="N37" s="307">
        <v>34350</v>
      </c>
      <c r="O37" s="307">
        <v>35760</v>
      </c>
      <c r="P37" s="307">
        <v>37210</v>
      </c>
      <c r="Q37" s="307">
        <v>36550</v>
      </c>
      <c r="R37" s="307">
        <v>36450</v>
      </c>
      <c r="S37" s="307">
        <v>36040</v>
      </c>
      <c r="T37" s="307">
        <v>36110</v>
      </c>
      <c r="U37" s="307">
        <v>35670</v>
      </c>
      <c r="V37" s="307">
        <v>34430</v>
      </c>
      <c r="W37" s="307">
        <v>34510</v>
      </c>
      <c r="X37" s="307">
        <v>34090</v>
      </c>
      <c r="Y37" s="307">
        <v>34810</v>
      </c>
      <c r="Z37" s="307">
        <v>34200</v>
      </c>
      <c r="AA37" s="307">
        <v>32850</v>
      </c>
      <c r="AB37" s="307">
        <v>33260</v>
      </c>
      <c r="AC37" s="307">
        <v>33940</v>
      </c>
      <c r="AD37" s="307">
        <v>33730</v>
      </c>
      <c r="AE37" s="307">
        <v>34250</v>
      </c>
      <c r="AF37" s="307">
        <v>35570</v>
      </c>
      <c r="AG37" s="307">
        <v>36740</v>
      </c>
      <c r="AH37" s="307">
        <v>36440</v>
      </c>
      <c r="AI37" s="307">
        <v>36290</v>
      </c>
      <c r="AJ37" s="307">
        <v>35740</v>
      </c>
      <c r="AK37" s="307">
        <v>34980</v>
      </c>
      <c r="AL37" s="307">
        <v>35000</v>
      </c>
      <c r="AM37" s="307">
        <v>35090</v>
      </c>
      <c r="AN37" s="307">
        <v>35230</v>
      </c>
      <c r="AO37" s="307">
        <v>35410</v>
      </c>
      <c r="AP37" s="307">
        <v>35610</v>
      </c>
      <c r="AQ37" s="307">
        <v>35810</v>
      </c>
      <c r="AR37" s="307">
        <v>36010</v>
      </c>
      <c r="AS37" s="307">
        <v>36180</v>
      </c>
      <c r="AT37" s="307">
        <v>36330</v>
      </c>
      <c r="AU37" s="307">
        <v>36460</v>
      </c>
      <c r="AV37" s="307">
        <v>36550</v>
      </c>
      <c r="AW37" s="307">
        <v>36610</v>
      </c>
      <c r="AX37" s="307">
        <v>36640</v>
      </c>
      <c r="AY37" s="307">
        <v>36640</v>
      </c>
      <c r="AZ37" s="307">
        <v>36620</v>
      </c>
      <c r="BA37" s="307">
        <v>36570</v>
      </c>
      <c r="BB37" s="307">
        <v>36500</v>
      </c>
      <c r="BC37" s="307">
        <v>36420</v>
      </c>
      <c r="BD37" s="307">
        <v>36340</v>
      </c>
      <c r="BE37" s="307">
        <v>36270</v>
      </c>
      <c r="BF37" s="307">
        <v>36200</v>
      </c>
    </row>
    <row r="38" spans="1:58" x14ac:dyDescent="0.2">
      <c r="A38" s="308" t="s">
        <v>34</v>
      </c>
      <c r="B38" s="305"/>
      <c r="C38" s="307">
        <v>24860</v>
      </c>
      <c r="D38" s="307">
        <v>24640</v>
      </c>
      <c r="E38" s="307">
        <v>25360</v>
      </c>
      <c r="F38" s="307">
        <v>26260</v>
      </c>
      <c r="G38" s="307">
        <v>27220</v>
      </c>
      <c r="H38" s="307">
        <v>28160</v>
      </c>
      <c r="I38" s="307">
        <v>29230</v>
      </c>
      <c r="J38" s="307">
        <v>29460</v>
      </c>
      <c r="K38" s="307">
        <v>29960</v>
      </c>
      <c r="L38" s="307">
        <v>30820</v>
      </c>
      <c r="M38" s="307">
        <v>31790</v>
      </c>
      <c r="N38" s="307">
        <v>33450</v>
      </c>
      <c r="O38" s="307">
        <v>34720</v>
      </c>
      <c r="P38" s="307">
        <v>36130</v>
      </c>
      <c r="Q38" s="307">
        <v>37580</v>
      </c>
      <c r="R38" s="307">
        <v>36920</v>
      </c>
      <c r="S38" s="307">
        <v>36820</v>
      </c>
      <c r="T38" s="307">
        <v>36410</v>
      </c>
      <c r="U38" s="307">
        <v>36480</v>
      </c>
      <c r="V38" s="307">
        <v>36040</v>
      </c>
      <c r="W38" s="307">
        <v>34800</v>
      </c>
      <c r="X38" s="307">
        <v>34880</v>
      </c>
      <c r="Y38" s="307">
        <v>34460</v>
      </c>
      <c r="Z38" s="307">
        <v>35180</v>
      </c>
      <c r="AA38" s="307">
        <v>34570</v>
      </c>
      <c r="AB38" s="307">
        <v>33220</v>
      </c>
      <c r="AC38" s="307">
        <v>33640</v>
      </c>
      <c r="AD38" s="307">
        <v>34310</v>
      </c>
      <c r="AE38" s="307">
        <v>34110</v>
      </c>
      <c r="AF38" s="307">
        <v>34630</v>
      </c>
      <c r="AG38" s="307">
        <v>35940</v>
      </c>
      <c r="AH38" s="307">
        <v>37120</v>
      </c>
      <c r="AI38" s="307">
        <v>36820</v>
      </c>
      <c r="AJ38" s="307">
        <v>36670</v>
      </c>
      <c r="AK38" s="307">
        <v>36120</v>
      </c>
      <c r="AL38" s="307">
        <v>35350</v>
      </c>
      <c r="AM38" s="307">
        <v>35370</v>
      </c>
      <c r="AN38" s="307">
        <v>35460</v>
      </c>
      <c r="AO38" s="307">
        <v>35610</v>
      </c>
      <c r="AP38" s="307">
        <v>35790</v>
      </c>
      <c r="AQ38" s="307">
        <v>35990</v>
      </c>
      <c r="AR38" s="307">
        <v>36190</v>
      </c>
      <c r="AS38" s="307">
        <v>36390</v>
      </c>
      <c r="AT38" s="307">
        <v>36560</v>
      </c>
      <c r="AU38" s="307">
        <v>36710</v>
      </c>
      <c r="AV38" s="307">
        <v>36840</v>
      </c>
      <c r="AW38" s="307">
        <v>36930</v>
      </c>
      <c r="AX38" s="307">
        <v>36990</v>
      </c>
      <c r="AY38" s="307">
        <v>37020</v>
      </c>
      <c r="AZ38" s="307">
        <v>37020</v>
      </c>
      <c r="BA38" s="307">
        <v>37000</v>
      </c>
      <c r="BB38" s="307">
        <v>36950</v>
      </c>
      <c r="BC38" s="307">
        <v>36890</v>
      </c>
      <c r="BD38" s="307">
        <v>36810</v>
      </c>
      <c r="BE38" s="307">
        <v>36720</v>
      </c>
      <c r="BF38" s="307">
        <v>36650</v>
      </c>
    </row>
    <row r="39" spans="1:58" x14ac:dyDescent="0.2">
      <c r="A39" s="308" t="s">
        <v>35</v>
      </c>
      <c r="B39" s="305"/>
      <c r="C39" s="307">
        <v>25180</v>
      </c>
      <c r="D39" s="307">
        <v>25130</v>
      </c>
      <c r="E39" s="307">
        <v>24930</v>
      </c>
      <c r="F39" s="307">
        <v>25750</v>
      </c>
      <c r="G39" s="307">
        <v>26590</v>
      </c>
      <c r="H39" s="307">
        <v>27440</v>
      </c>
      <c r="I39" s="307">
        <v>28300</v>
      </c>
      <c r="J39" s="307">
        <v>29420</v>
      </c>
      <c r="K39" s="307">
        <v>29760</v>
      </c>
      <c r="L39" s="307">
        <v>30330</v>
      </c>
      <c r="M39" s="307">
        <v>31190</v>
      </c>
      <c r="N39" s="307">
        <v>32160</v>
      </c>
      <c r="O39" s="307">
        <v>33820</v>
      </c>
      <c r="P39" s="307">
        <v>35090</v>
      </c>
      <c r="Q39" s="307">
        <v>36500</v>
      </c>
      <c r="R39" s="307">
        <v>37950</v>
      </c>
      <c r="S39" s="307">
        <v>37290</v>
      </c>
      <c r="T39" s="307">
        <v>37190</v>
      </c>
      <c r="U39" s="307">
        <v>36780</v>
      </c>
      <c r="V39" s="307">
        <v>36850</v>
      </c>
      <c r="W39" s="307">
        <v>36410</v>
      </c>
      <c r="X39" s="307">
        <v>35180</v>
      </c>
      <c r="Y39" s="307">
        <v>35250</v>
      </c>
      <c r="Z39" s="307">
        <v>34840</v>
      </c>
      <c r="AA39" s="307">
        <v>35550</v>
      </c>
      <c r="AB39" s="307">
        <v>34950</v>
      </c>
      <c r="AC39" s="307">
        <v>33600</v>
      </c>
      <c r="AD39" s="307">
        <v>34020</v>
      </c>
      <c r="AE39" s="307">
        <v>34690</v>
      </c>
      <c r="AF39" s="307">
        <v>34480</v>
      </c>
      <c r="AG39" s="307">
        <v>35000</v>
      </c>
      <c r="AH39" s="307">
        <v>36320</v>
      </c>
      <c r="AI39" s="307">
        <v>37490</v>
      </c>
      <c r="AJ39" s="307">
        <v>37190</v>
      </c>
      <c r="AK39" s="307">
        <v>37040</v>
      </c>
      <c r="AL39" s="307">
        <v>36490</v>
      </c>
      <c r="AM39" s="307">
        <v>35730</v>
      </c>
      <c r="AN39" s="307">
        <v>35750</v>
      </c>
      <c r="AO39" s="307">
        <v>35840</v>
      </c>
      <c r="AP39" s="307">
        <v>35990</v>
      </c>
      <c r="AQ39" s="307">
        <v>36170</v>
      </c>
      <c r="AR39" s="307">
        <v>36370</v>
      </c>
      <c r="AS39" s="307">
        <v>36570</v>
      </c>
      <c r="AT39" s="307">
        <v>36760</v>
      </c>
      <c r="AU39" s="307">
        <v>36940</v>
      </c>
      <c r="AV39" s="307">
        <v>37090</v>
      </c>
      <c r="AW39" s="307">
        <v>37210</v>
      </c>
      <c r="AX39" s="307">
        <v>37310</v>
      </c>
      <c r="AY39" s="307">
        <v>37370</v>
      </c>
      <c r="AZ39" s="307">
        <v>37400</v>
      </c>
      <c r="BA39" s="307">
        <v>37400</v>
      </c>
      <c r="BB39" s="307">
        <v>37380</v>
      </c>
      <c r="BC39" s="307">
        <v>37330</v>
      </c>
      <c r="BD39" s="307">
        <v>37270</v>
      </c>
      <c r="BE39" s="307">
        <v>37190</v>
      </c>
      <c r="BF39" s="307">
        <v>37100</v>
      </c>
    </row>
    <row r="40" spans="1:58" x14ac:dyDescent="0.2">
      <c r="A40" s="308" t="s">
        <v>36</v>
      </c>
      <c r="B40" s="305"/>
      <c r="C40" s="307">
        <v>26120</v>
      </c>
      <c r="D40" s="307">
        <v>25450</v>
      </c>
      <c r="E40" s="307">
        <v>25420</v>
      </c>
      <c r="F40" s="307">
        <v>25220</v>
      </c>
      <c r="G40" s="307">
        <v>25970</v>
      </c>
      <c r="H40" s="307">
        <v>26730</v>
      </c>
      <c r="I40" s="307">
        <v>27530</v>
      </c>
      <c r="J40" s="307">
        <v>28440</v>
      </c>
      <c r="K40" s="307">
        <v>29650</v>
      </c>
      <c r="L40" s="307">
        <v>30050</v>
      </c>
      <c r="M40" s="307">
        <v>30620</v>
      </c>
      <c r="N40" s="307">
        <v>31480</v>
      </c>
      <c r="O40" s="307">
        <v>32460</v>
      </c>
      <c r="P40" s="307">
        <v>34120</v>
      </c>
      <c r="Q40" s="307">
        <v>35380</v>
      </c>
      <c r="R40" s="307">
        <v>36790</v>
      </c>
      <c r="S40" s="307">
        <v>38240</v>
      </c>
      <c r="T40" s="307">
        <v>37580</v>
      </c>
      <c r="U40" s="307">
        <v>37480</v>
      </c>
      <c r="V40" s="307">
        <v>37070</v>
      </c>
      <c r="W40" s="307">
        <v>37140</v>
      </c>
      <c r="X40" s="307">
        <v>36700</v>
      </c>
      <c r="Y40" s="307">
        <v>35470</v>
      </c>
      <c r="Z40" s="307">
        <v>35550</v>
      </c>
      <c r="AA40" s="307">
        <v>35130</v>
      </c>
      <c r="AB40" s="307">
        <v>35850</v>
      </c>
      <c r="AC40" s="307">
        <v>35240</v>
      </c>
      <c r="AD40" s="307">
        <v>33890</v>
      </c>
      <c r="AE40" s="307">
        <v>34310</v>
      </c>
      <c r="AF40" s="307">
        <v>34990</v>
      </c>
      <c r="AG40" s="307">
        <v>34780</v>
      </c>
      <c r="AH40" s="307">
        <v>35300</v>
      </c>
      <c r="AI40" s="307">
        <v>36610</v>
      </c>
      <c r="AJ40" s="307">
        <v>37790</v>
      </c>
      <c r="AK40" s="307">
        <v>37490</v>
      </c>
      <c r="AL40" s="307">
        <v>37340</v>
      </c>
      <c r="AM40" s="307">
        <v>36790</v>
      </c>
      <c r="AN40" s="307">
        <v>36030</v>
      </c>
      <c r="AO40" s="307">
        <v>36050</v>
      </c>
      <c r="AP40" s="307">
        <v>36140</v>
      </c>
      <c r="AQ40" s="307">
        <v>36290</v>
      </c>
      <c r="AR40" s="307">
        <v>36470</v>
      </c>
      <c r="AS40" s="307">
        <v>36670</v>
      </c>
      <c r="AT40" s="307">
        <v>36870</v>
      </c>
      <c r="AU40" s="307">
        <v>37060</v>
      </c>
      <c r="AV40" s="307">
        <v>37240</v>
      </c>
      <c r="AW40" s="307">
        <v>37390</v>
      </c>
      <c r="AX40" s="307">
        <v>37510</v>
      </c>
      <c r="AY40" s="307">
        <v>37610</v>
      </c>
      <c r="AZ40" s="307">
        <v>37670</v>
      </c>
      <c r="BA40" s="307">
        <v>37700</v>
      </c>
      <c r="BB40" s="307">
        <v>37700</v>
      </c>
      <c r="BC40" s="307">
        <v>37680</v>
      </c>
      <c r="BD40" s="307">
        <v>37640</v>
      </c>
      <c r="BE40" s="307">
        <v>37570</v>
      </c>
      <c r="BF40" s="307">
        <v>37490</v>
      </c>
    </row>
    <row r="41" spans="1:58" x14ac:dyDescent="0.2">
      <c r="A41" s="308" t="s">
        <v>37</v>
      </c>
      <c r="B41" s="305"/>
      <c r="C41" s="307">
        <v>27080</v>
      </c>
      <c r="D41" s="307">
        <v>26280</v>
      </c>
      <c r="E41" s="307">
        <v>25600</v>
      </c>
      <c r="F41" s="307">
        <v>25600</v>
      </c>
      <c r="G41" s="307">
        <v>25330</v>
      </c>
      <c r="H41" s="307">
        <v>26030</v>
      </c>
      <c r="I41" s="307">
        <v>26760</v>
      </c>
      <c r="J41" s="307">
        <v>27590</v>
      </c>
      <c r="K41" s="307">
        <v>28560</v>
      </c>
      <c r="L41" s="307">
        <v>29820</v>
      </c>
      <c r="M41" s="307">
        <v>30220</v>
      </c>
      <c r="N41" s="307">
        <v>30790</v>
      </c>
      <c r="O41" s="307">
        <v>31650</v>
      </c>
      <c r="P41" s="307">
        <v>32630</v>
      </c>
      <c r="Q41" s="307">
        <v>34290</v>
      </c>
      <c r="R41" s="307">
        <v>35550</v>
      </c>
      <c r="S41" s="307">
        <v>36960</v>
      </c>
      <c r="T41" s="307">
        <v>38410</v>
      </c>
      <c r="U41" s="307">
        <v>37750</v>
      </c>
      <c r="V41" s="307">
        <v>37650</v>
      </c>
      <c r="W41" s="307">
        <v>37240</v>
      </c>
      <c r="X41" s="307">
        <v>37310</v>
      </c>
      <c r="Y41" s="307">
        <v>36870</v>
      </c>
      <c r="Z41" s="307">
        <v>35640</v>
      </c>
      <c r="AA41" s="307">
        <v>35720</v>
      </c>
      <c r="AB41" s="307">
        <v>35300</v>
      </c>
      <c r="AC41" s="307">
        <v>36020</v>
      </c>
      <c r="AD41" s="307">
        <v>35420</v>
      </c>
      <c r="AE41" s="307">
        <v>34070</v>
      </c>
      <c r="AF41" s="307">
        <v>34490</v>
      </c>
      <c r="AG41" s="307">
        <v>35160</v>
      </c>
      <c r="AH41" s="307">
        <v>34950</v>
      </c>
      <c r="AI41" s="307">
        <v>35470</v>
      </c>
      <c r="AJ41" s="307">
        <v>36790</v>
      </c>
      <c r="AK41" s="307">
        <v>37960</v>
      </c>
      <c r="AL41" s="307">
        <v>37660</v>
      </c>
      <c r="AM41" s="307">
        <v>37520</v>
      </c>
      <c r="AN41" s="307">
        <v>36970</v>
      </c>
      <c r="AO41" s="307">
        <v>36210</v>
      </c>
      <c r="AP41" s="307">
        <v>36230</v>
      </c>
      <c r="AQ41" s="307">
        <v>36320</v>
      </c>
      <c r="AR41" s="307">
        <v>36460</v>
      </c>
      <c r="AS41" s="307">
        <v>36650</v>
      </c>
      <c r="AT41" s="307">
        <v>36850</v>
      </c>
      <c r="AU41" s="307">
        <v>37050</v>
      </c>
      <c r="AV41" s="307">
        <v>37240</v>
      </c>
      <c r="AW41" s="307">
        <v>37420</v>
      </c>
      <c r="AX41" s="307">
        <v>37570</v>
      </c>
      <c r="AY41" s="307">
        <v>37690</v>
      </c>
      <c r="AZ41" s="307">
        <v>37790</v>
      </c>
      <c r="BA41" s="307">
        <v>37850</v>
      </c>
      <c r="BB41" s="307">
        <v>37880</v>
      </c>
      <c r="BC41" s="307">
        <v>37880</v>
      </c>
      <c r="BD41" s="307">
        <v>37860</v>
      </c>
      <c r="BE41" s="307">
        <v>37810</v>
      </c>
      <c r="BF41" s="307">
        <v>37750</v>
      </c>
    </row>
    <row r="42" spans="1:58" x14ac:dyDescent="0.2">
      <c r="A42" s="308" t="s">
        <v>38</v>
      </c>
      <c r="B42" s="305"/>
      <c r="C42" s="307">
        <v>28270</v>
      </c>
      <c r="D42" s="307">
        <v>27240</v>
      </c>
      <c r="E42" s="307">
        <v>26350</v>
      </c>
      <c r="F42" s="307">
        <v>25730</v>
      </c>
      <c r="G42" s="307">
        <v>25640</v>
      </c>
      <c r="H42" s="307">
        <v>25310</v>
      </c>
      <c r="I42" s="307">
        <v>26010</v>
      </c>
      <c r="J42" s="307">
        <v>26770</v>
      </c>
      <c r="K42" s="307">
        <v>27650</v>
      </c>
      <c r="L42" s="307">
        <v>28660</v>
      </c>
      <c r="M42" s="307">
        <v>29910</v>
      </c>
      <c r="N42" s="307">
        <v>30320</v>
      </c>
      <c r="O42" s="307">
        <v>30890</v>
      </c>
      <c r="P42" s="307">
        <v>31750</v>
      </c>
      <c r="Q42" s="307">
        <v>32720</v>
      </c>
      <c r="R42" s="307">
        <v>34380</v>
      </c>
      <c r="S42" s="307">
        <v>35640</v>
      </c>
      <c r="T42" s="307">
        <v>37050</v>
      </c>
      <c r="U42" s="307">
        <v>38500</v>
      </c>
      <c r="V42" s="307">
        <v>37840</v>
      </c>
      <c r="W42" s="307">
        <v>37740</v>
      </c>
      <c r="X42" s="307">
        <v>37330</v>
      </c>
      <c r="Y42" s="307">
        <v>37410</v>
      </c>
      <c r="Z42" s="307">
        <v>36970</v>
      </c>
      <c r="AA42" s="307">
        <v>35740</v>
      </c>
      <c r="AB42" s="307">
        <v>35810</v>
      </c>
      <c r="AC42" s="307">
        <v>35400</v>
      </c>
      <c r="AD42" s="307">
        <v>36120</v>
      </c>
      <c r="AE42" s="307">
        <v>35510</v>
      </c>
      <c r="AF42" s="307">
        <v>34170</v>
      </c>
      <c r="AG42" s="307">
        <v>34580</v>
      </c>
      <c r="AH42" s="307">
        <v>35260</v>
      </c>
      <c r="AI42" s="307">
        <v>35050</v>
      </c>
      <c r="AJ42" s="307">
        <v>35570</v>
      </c>
      <c r="AK42" s="307">
        <v>36880</v>
      </c>
      <c r="AL42" s="307">
        <v>38060</v>
      </c>
      <c r="AM42" s="307">
        <v>37760</v>
      </c>
      <c r="AN42" s="307">
        <v>37610</v>
      </c>
      <c r="AO42" s="307">
        <v>37070</v>
      </c>
      <c r="AP42" s="307">
        <v>36300</v>
      </c>
      <c r="AQ42" s="307">
        <v>36330</v>
      </c>
      <c r="AR42" s="307">
        <v>36420</v>
      </c>
      <c r="AS42" s="307">
        <v>36560</v>
      </c>
      <c r="AT42" s="307">
        <v>36750</v>
      </c>
      <c r="AU42" s="307">
        <v>36950</v>
      </c>
      <c r="AV42" s="307">
        <v>37150</v>
      </c>
      <c r="AW42" s="307">
        <v>37340</v>
      </c>
      <c r="AX42" s="307">
        <v>37520</v>
      </c>
      <c r="AY42" s="307">
        <v>37670</v>
      </c>
      <c r="AZ42" s="307">
        <v>37790</v>
      </c>
      <c r="BA42" s="307">
        <v>37890</v>
      </c>
      <c r="BB42" s="307">
        <v>37950</v>
      </c>
      <c r="BC42" s="307">
        <v>37980</v>
      </c>
      <c r="BD42" s="307">
        <v>37980</v>
      </c>
      <c r="BE42" s="307">
        <v>37960</v>
      </c>
      <c r="BF42" s="307">
        <v>37920</v>
      </c>
    </row>
    <row r="43" spans="1:58" x14ac:dyDescent="0.2">
      <c r="A43" s="308" t="s">
        <v>39</v>
      </c>
      <c r="B43" s="305"/>
      <c r="C43" s="307">
        <v>29670</v>
      </c>
      <c r="D43" s="307">
        <v>28480</v>
      </c>
      <c r="E43" s="307">
        <v>27320</v>
      </c>
      <c r="F43" s="307">
        <v>26510</v>
      </c>
      <c r="G43" s="307">
        <v>25800</v>
      </c>
      <c r="H43" s="307">
        <v>25670</v>
      </c>
      <c r="I43" s="307">
        <v>25270</v>
      </c>
      <c r="J43" s="307">
        <v>25990</v>
      </c>
      <c r="K43" s="307">
        <v>26800</v>
      </c>
      <c r="L43" s="307">
        <v>27720</v>
      </c>
      <c r="M43" s="307">
        <v>28720</v>
      </c>
      <c r="N43" s="307">
        <v>29980</v>
      </c>
      <c r="O43" s="307">
        <v>30380</v>
      </c>
      <c r="P43" s="307">
        <v>30960</v>
      </c>
      <c r="Q43" s="307">
        <v>31820</v>
      </c>
      <c r="R43" s="307">
        <v>32790</v>
      </c>
      <c r="S43" s="307">
        <v>34440</v>
      </c>
      <c r="T43" s="307">
        <v>35710</v>
      </c>
      <c r="U43" s="307">
        <v>37110</v>
      </c>
      <c r="V43" s="307">
        <v>38560</v>
      </c>
      <c r="W43" s="307">
        <v>37910</v>
      </c>
      <c r="X43" s="307">
        <v>37810</v>
      </c>
      <c r="Y43" s="307">
        <v>37400</v>
      </c>
      <c r="Z43" s="307">
        <v>37470</v>
      </c>
      <c r="AA43" s="307">
        <v>37030</v>
      </c>
      <c r="AB43" s="307">
        <v>35810</v>
      </c>
      <c r="AC43" s="307">
        <v>35880</v>
      </c>
      <c r="AD43" s="307">
        <v>35470</v>
      </c>
      <c r="AE43" s="307">
        <v>36190</v>
      </c>
      <c r="AF43" s="307">
        <v>35580</v>
      </c>
      <c r="AG43" s="307">
        <v>34240</v>
      </c>
      <c r="AH43" s="307">
        <v>34650</v>
      </c>
      <c r="AI43" s="307">
        <v>35330</v>
      </c>
      <c r="AJ43" s="307">
        <v>35120</v>
      </c>
      <c r="AK43" s="307">
        <v>35640</v>
      </c>
      <c r="AL43" s="307">
        <v>36950</v>
      </c>
      <c r="AM43" s="307">
        <v>38130</v>
      </c>
      <c r="AN43" s="307">
        <v>37830</v>
      </c>
      <c r="AO43" s="307">
        <v>37680</v>
      </c>
      <c r="AP43" s="307">
        <v>37140</v>
      </c>
      <c r="AQ43" s="307">
        <v>36380</v>
      </c>
      <c r="AR43" s="307">
        <v>36400</v>
      </c>
      <c r="AS43" s="307">
        <v>36490</v>
      </c>
      <c r="AT43" s="307">
        <v>36630</v>
      </c>
      <c r="AU43" s="307">
        <v>36820</v>
      </c>
      <c r="AV43" s="307">
        <v>37020</v>
      </c>
      <c r="AW43" s="307">
        <v>37220</v>
      </c>
      <c r="AX43" s="307">
        <v>37410</v>
      </c>
      <c r="AY43" s="307">
        <v>37590</v>
      </c>
      <c r="AZ43" s="307">
        <v>37740</v>
      </c>
      <c r="BA43" s="307">
        <v>37870</v>
      </c>
      <c r="BB43" s="307">
        <v>37960</v>
      </c>
      <c r="BC43" s="307">
        <v>38020</v>
      </c>
      <c r="BD43" s="307">
        <v>38050</v>
      </c>
      <c r="BE43" s="307">
        <v>38060</v>
      </c>
      <c r="BF43" s="307">
        <v>38040</v>
      </c>
    </row>
    <row r="44" spans="1:58" x14ac:dyDescent="0.2">
      <c r="A44" s="308" t="s">
        <v>40</v>
      </c>
      <c r="B44" s="305"/>
      <c r="C44" s="307">
        <v>30140</v>
      </c>
      <c r="D44" s="307">
        <v>29820</v>
      </c>
      <c r="E44" s="307">
        <v>28530</v>
      </c>
      <c r="F44" s="307">
        <v>27380</v>
      </c>
      <c r="G44" s="307">
        <v>26580</v>
      </c>
      <c r="H44" s="307">
        <v>25780</v>
      </c>
      <c r="I44" s="307">
        <v>25610</v>
      </c>
      <c r="J44" s="307">
        <v>25230</v>
      </c>
      <c r="K44" s="307">
        <v>26000</v>
      </c>
      <c r="L44" s="307">
        <v>26840</v>
      </c>
      <c r="M44" s="307">
        <v>27760</v>
      </c>
      <c r="N44" s="307">
        <v>28770</v>
      </c>
      <c r="O44" s="307">
        <v>30020</v>
      </c>
      <c r="P44" s="307">
        <v>30430</v>
      </c>
      <c r="Q44" s="307">
        <v>31000</v>
      </c>
      <c r="R44" s="307">
        <v>31860</v>
      </c>
      <c r="S44" s="307">
        <v>32830</v>
      </c>
      <c r="T44" s="307">
        <v>34490</v>
      </c>
      <c r="U44" s="307">
        <v>35750</v>
      </c>
      <c r="V44" s="307">
        <v>37150</v>
      </c>
      <c r="W44" s="307">
        <v>38600</v>
      </c>
      <c r="X44" s="307">
        <v>37950</v>
      </c>
      <c r="Y44" s="307">
        <v>37850</v>
      </c>
      <c r="Z44" s="307">
        <v>37440</v>
      </c>
      <c r="AA44" s="307">
        <v>37510</v>
      </c>
      <c r="AB44" s="307">
        <v>37080</v>
      </c>
      <c r="AC44" s="307">
        <v>35850</v>
      </c>
      <c r="AD44" s="307">
        <v>35930</v>
      </c>
      <c r="AE44" s="307">
        <v>35510</v>
      </c>
      <c r="AF44" s="307">
        <v>36230</v>
      </c>
      <c r="AG44" s="307">
        <v>35630</v>
      </c>
      <c r="AH44" s="307">
        <v>34280</v>
      </c>
      <c r="AI44" s="307">
        <v>34700</v>
      </c>
      <c r="AJ44" s="307">
        <v>35370</v>
      </c>
      <c r="AK44" s="307">
        <v>35170</v>
      </c>
      <c r="AL44" s="307">
        <v>35690</v>
      </c>
      <c r="AM44" s="307">
        <v>37000</v>
      </c>
      <c r="AN44" s="307">
        <v>38170</v>
      </c>
      <c r="AO44" s="307">
        <v>37880</v>
      </c>
      <c r="AP44" s="307">
        <v>37730</v>
      </c>
      <c r="AQ44" s="307">
        <v>37180</v>
      </c>
      <c r="AR44" s="307">
        <v>36420</v>
      </c>
      <c r="AS44" s="307">
        <v>36450</v>
      </c>
      <c r="AT44" s="307">
        <v>36540</v>
      </c>
      <c r="AU44" s="307">
        <v>36680</v>
      </c>
      <c r="AV44" s="307">
        <v>36870</v>
      </c>
      <c r="AW44" s="307">
        <v>37070</v>
      </c>
      <c r="AX44" s="307">
        <v>37270</v>
      </c>
      <c r="AY44" s="307">
        <v>37460</v>
      </c>
      <c r="AZ44" s="307">
        <v>37640</v>
      </c>
      <c r="BA44" s="307">
        <v>37790</v>
      </c>
      <c r="BB44" s="307">
        <v>37920</v>
      </c>
      <c r="BC44" s="307">
        <v>38010</v>
      </c>
      <c r="BD44" s="307">
        <v>38070</v>
      </c>
      <c r="BE44" s="307">
        <v>38100</v>
      </c>
      <c r="BF44" s="307">
        <v>38110</v>
      </c>
    </row>
    <row r="45" spans="1:58" x14ac:dyDescent="0.2">
      <c r="A45" s="308" t="s">
        <v>41</v>
      </c>
      <c r="B45" s="305"/>
      <c r="C45" s="307">
        <v>29680</v>
      </c>
      <c r="D45" s="307">
        <v>30270</v>
      </c>
      <c r="E45" s="307">
        <v>29920</v>
      </c>
      <c r="F45" s="307">
        <v>28590</v>
      </c>
      <c r="G45" s="307">
        <v>27410</v>
      </c>
      <c r="H45" s="307">
        <v>26540</v>
      </c>
      <c r="I45" s="307">
        <v>25690</v>
      </c>
      <c r="J45" s="307">
        <v>25540</v>
      </c>
      <c r="K45" s="307">
        <v>25210</v>
      </c>
      <c r="L45" s="307">
        <v>26020</v>
      </c>
      <c r="M45" s="307">
        <v>26860</v>
      </c>
      <c r="N45" s="307">
        <v>27780</v>
      </c>
      <c r="O45" s="307">
        <v>28790</v>
      </c>
      <c r="P45" s="307">
        <v>30040</v>
      </c>
      <c r="Q45" s="307">
        <v>30450</v>
      </c>
      <c r="R45" s="307">
        <v>31020</v>
      </c>
      <c r="S45" s="307">
        <v>31880</v>
      </c>
      <c r="T45" s="307">
        <v>32850</v>
      </c>
      <c r="U45" s="307">
        <v>34500</v>
      </c>
      <c r="V45" s="307">
        <v>35760</v>
      </c>
      <c r="W45" s="307">
        <v>37170</v>
      </c>
      <c r="X45" s="307">
        <v>38610</v>
      </c>
      <c r="Y45" s="307">
        <v>37960</v>
      </c>
      <c r="Z45" s="307">
        <v>37860</v>
      </c>
      <c r="AA45" s="307">
        <v>37460</v>
      </c>
      <c r="AB45" s="307">
        <v>37530</v>
      </c>
      <c r="AC45" s="307">
        <v>37090</v>
      </c>
      <c r="AD45" s="307">
        <v>35870</v>
      </c>
      <c r="AE45" s="307">
        <v>35950</v>
      </c>
      <c r="AF45" s="307">
        <v>35530</v>
      </c>
      <c r="AG45" s="307">
        <v>36250</v>
      </c>
      <c r="AH45" s="307">
        <v>35650</v>
      </c>
      <c r="AI45" s="307">
        <v>34300</v>
      </c>
      <c r="AJ45" s="307">
        <v>34720</v>
      </c>
      <c r="AK45" s="307">
        <v>35400</v>
      </c>
      <c r="AL45" s="307">
        <v>35190</v>
      </c>
      <c r="AM45" s="307">
        <v>35710</v>
      </c>
      <c r="AN45" s="307">
        <v>37020</v>
      </c>
      <c r="AO45" s="307">
        <v>38190</v>
      </c>
      <c r="AP45" s="307">
        <v>37900</v>
      </c>
      <c r="AQ45" s="307">
        <v>37750</v>
      </c>
      <c r="AR45" s="307">
        <v>37210</v>
      </c>
      <c r="AS45" s="307">
        <v>36450</v>
      </c>
      <c r="AT45" s="307">
        <v>36470</v>
      </c>
      <c r="AU45" s="307">
        <v>36560</v>
      </c>
      <c r="AV45" s="307">
        <v>36710</v>
      </c>
      <c r="AW45" s="307">
        <v>36890</v>
      </c>
      <c r="AX45" s="307">
        <v>37090</v>
      </c>
      <c r="AY45" s="307">
        <v>37290</v>
      </c>
      <c r="AZ45" s="307">
        <v>37490</v>
      </c>
      <c r="BA45" s="307">
        <v>37660</v>
      </c>
      <c r="BB45" s="307">
        <v>37820</v>
      </c>
      <c r="BC45" s="307">
        <v>37940</v>
      </c>
      <c r="BD45" s="307">
        <v>38040</v>
      </c>
      <c r="BE45" s="307">
        <v>38100</v>
      </c>
      <c r="BF45" s="307">
        <v>38130</v>
      </c>
    </row>
    <row r="46" spans="1:58" x14ac:dyDescent="0.2">
      <c r="A46" s="308" t="s">
        <v>42</v>
      </c>
      <c r="B46" s="305"/>
      <c r="C46" s="307">
        <v>30040</v>
      </c>
      <c r="D46" s="307">
        <v>29810</v>
      </c>
      <c r="E46" s="307">
        <v>30350</v>
      </c>
      <c r="F46" s="307">
        <v>29980</v>
      </c>
      <c r="G46" s="307">
        <v>28650</v>
      </c>
      <c r="H46" s="307">
        <v>27380</v>
      </c>
      <c r="I46" s="307">
        <v>26440</v>
      </c>
      <c r="J46" s="307">
        <v>25610</v>
      </c>
      <c r="K46" s="307">
        <v>25510</v>
      </c>
      <c r="L46" s="307">
        <v>25210</v>
      </c>
      <c r="M46" s="307">
        <v>26020</v>
      </c>
      <c r="N46" s="307">
        <v>26860</v>
      </c>
      <c r="O46" s="307">
        <v>27780</v>
      </c>
      <c r="P46" s="307">
        <v>28790</v>
      </c>
      <c r="Q46" s="307">
        <v>30040</v>
      </c>
      <c r="R46" s="307">
        <v>30440</v>
      </c>
      <c r="S46" s="307">
        <v>31020</v>
      </c>
      <c r="T46" s="307">
        <v>31870</v>
      </c>
      <c r="U46" s="307">
        <v>32850</v>
      </c>
      <c r="V46" s="307">
        <v>34500</v>
      </c>
      <c r="W46" s="307">
        <v>35760</v>
      </c>
      <c r="X46" s="307">
        <v>37160</v>
      </c>
      <c r="Y46" s="307">
        <v>38610</v>
      </c>
      <c r="Z46" s="307">
        <v>37960</v>
      </c>
      <c r="AA46" s="307">
        <v>37860</v>
      </c>
      <c r="AB46" s="307">
        <v>37450</v>
      </c>
      <c r="AC46" s="307">
        <v>37530</v>
      </c>
      <c r="AD46" s="307">
        <v>37090</v>
      </c>
      <c r="AE46" s="307">
        <v>35870</v>
      </c>
      <c r="AF46" s="307">
        <v>35940</v>
      </c>
      <c r="AG46" s="307">
        <v>35530</v>
      </c>
      <c r="AH46" s="307">
        <v>36250</v>
      </c>
      <c r="AI46" s="307">
        <v>35650</v>
      </c>
      <c r="AJ46" s="307">
        <v>34310</v>
      </c>
      <c r="AK46" s="307">
        <v>34720</v>
      </c>
      <c r="AL46" s="307">
        <v>35400</v>
      </c>
      <c r="AM46" s="307">
        <v>35190</v>
      </c>
      <c r="AN46" s="307">
        <v>35710</v>
      </c>
      <c r="AO46" s="307">
        <v>37020</v>
      </c>
      <c r="AP46" s="307">
        <v>38190</v>
      </c>
      <c r="AQ46" s="307">
        <v>37900</v>
      </c>
      <c r="AR46" s="307">
        <v>37750</v>
      </c>
      <c r="AS46" s="307">
        <v>37210</v>
      </c>
      <c r="AT46" s="307">
        <v>36450</v>
      </c>
      <c r="AU46" s="307">
        <v>36470</v>
      </c>
      <c r="AV46" s="307">
        <v>36560</v>
      </c>
      <c r="AW46" s="307">
        <v>36710</v>
      </c>
      <c r="AX46" s="307">
        <v>36900</v>
      </c>
      <c r="AY46" s="307">
        <v>37100</v>
      </c>
      <c r="AZ46" s="307">
        <v>37300</v>
      </c>
      <c r="BA46" s="307">
        <v>37490</v>
      </c>
      <c r="BB46" s="307">
        <v>37670</v>
      </c>
      <c r="BC46" s="307">
        <v>37820</v>
      </c>
      <c r="BD46" s="307">
        <v>37950</v>
      </c>
      <c r="BE46" s="307">
        <v>38040</v>
      </c>
      <c r="BF46" s="307">
        <v>38100</v>
      </c>
    </row>
    <row r="47" spans="1:58" x14ac:dyDescent="0.2">
      <c r="A47" s="308" t="s">
        <v>43</v>
      </c>
      <c r="B47" s="305"/>
      <c r="C47" s="307">
        <v>29710</v>
      </c>
      <c r="D47" s="307">
        <v>30170</v>
      </c>
      <c r="E47" s="307">
        <v>29800</v>
      </c>
      <c r="F47" s="307">
        <v>30390</v>
      </c>
      <c r="G47" s="307">
        <v>29980</v>
      </c>
      <c r="H47" s="307">
        <v>28560</v>
      </c>
      <c r="I47" s="307">
        <v>27260</v>
      </c>
      <c r="J47" s="307">
        <v>26340</v>
      </c>
      <c r="K47" s="307">
        <v>25560</v>
      </c>
      <c r="L47" s="307">
        <v>25490</v>
      </c>
      <c r="M47" s="307">
        <v>25200</v>
      </c>
      <c r="N47" s="307">
        <v>26000</v>
      </c>
      <c r="O47" s="307">
        <v>26850</v>
      </c>
      <c r="P47" s="307">
        <v>27770</v>
      </c>
      <c r="Q47" s="307">
        <v>28770</v>
      </c>
      <c r="R47" s="307">
        <v>30020</v>
      </c>
      <c r="S47" s="307">
        <v>30430</v>
      </c>
      <c r="T47" s="307">
        <v>31000</v>
      </c>
      <c r="U47" s="307">
        <v>31860</v>
      </c>
      <c r="V47" s="307">
        <v>32830</v>
      </c>
      <c r="W47" s="307">
        <v>34480</v>
      </c>
      <c r="X47" s="307">
        <v>35740</v>
      </c>
      <c r="Y47" s="307">
        <v>37140</v>
      </c>
      <c r="Z47" s="307">
        <v>38590</v>
      </c>
      <c r="AA47" s="307">
        <v>37940</v>
      </c>
      <c r="AB47" s="307">
        <v>37840</v>
      </c>
      <c r="AC47" s="307">
        <v>37430</v>
      </c>
      <c r="AD47" s="307">
        <v>37510</v>
      </c>
      <c r="AE47" s="307">
        <v>37070</v>
      </c>
      <c r="AF47" s="307">
        <v>35850</v>
      </c>
      <c r="AG47" s="307">
        <v>35930</v>
      </c>
      <c r="AH47" s="307">
        <v>35520</v>
      </c>
      <c r="AI47" s="307">
        <v>36230</v>
      </c>
      <c r="AJ47" s="307">
        <v>35630</v>
      </c>
      <c r="AK47" s="307">
        <v>34290</v>
      </c>
      <c r="AL47" s="307">
        <v>34710</v>
      </c>
      <c r="AM47" s="307">
        <v>35380</v>
      </c>
      <c r="AN47" s="307">
        <v>35180</v>
      </c>
      <c r="AO47" s="307">
        <v>35700</v>
      </c>
      <c r="AP47" s="307">
        <v>37010</v>
      </c>
      <c r="AQ47" s="307">
        <v>38180</v>
      </c>
      <c r="AR47" s="307">
        <v>37890</v>
      </c>
      <c r="AS47" s="307">
        <v>37740</v>
      </c>
      <c r="AT47" s="307">
        <v>37200</v>
      </c>
      <c r="AU47" s="307">
        <v>36440</v>
      </c>
      <c r="AV47" s="307">
        <v>36460</v>
      </c>
      <c r="AW47" s="307">
        <v>36550</v>
      </c>
      <c r="AX47" s="307">
        <v>36700</v>
      </c>
      <c r="AY47" s="307">
        <v>36890</v>
      </c>
      <c r="AZ47" s="307">
        <v>37090</v>
      </c>
      <c r="BA47" s="307">
        <v>37290</v>
      </c>
      <c r="BB47" s="307">
        <v>37480</v>
      </c>
      <c r="BC47" s="307">
        <v>37660</v>
      </c>
      <c r="BD47" s="307">
        <v>37810</v>
      </c>
      <c r="BE47" s="307">
        <v>37940</v>
      </c>
      <c r="BF47" s="307">
        <v>38030</v>
      </c>
    </row>
    <row r="48" spans="1:58" x14ac:dyDescent="0.2">
      <c r="A48" s="308" t="s">
        <v>44</v>
      </c>
      <c r="B48" s="305"/>
      <c r="C48" s="307">
        <v>29570</v>
      </c>
      <c r="D48" s="307">
        <v>29830</v>
      </c>
      <c r="E48" s="307">
        <v>30140</v>
      </c>
      <c r="F48" s="307">
        <v>29870</v>
      </c>
      <c r="G48" s="307">
        <v>30370</v>
      </c>
      <c r="H48" s="307">
        <v>29870</v>
      </c>
      <c r="I48" s="307">
        <v>28430</v>
      </c>
      <c r="J48" s="307">
        <v>27150</v>
      </c>
      <c r="K48" s="307">
        <v>26270</v>
      </c>
      <c r="L48" s="307">
        <v>25530</v>
      </c>
      <c r="M48" s="307">
        <v>25460</v>
      </c>
      <c r="N48" s="307">
        <v>25170</v>
      </c>
      <c r="O48" s="307">
        <v>25970</v>
      </c>
      <c r="P48" s="307">
        <v>26820</v>
      </c>
      <c r="Q48" s="307">
        <v>27740</v>
      </c>
      <c r="R48" s="307">
        <v>28740</v>
      </c>
      <c r="S48" s="307">
        <v>29990</v>
      </c>
      <c r="T48" s="307">
        <v>30400</v>
      </c>
      <c r="U48" s="307">
        <v>30970</v>
      </c>
      <c r="V48" s="307">
        <v>31820</v>
      </c>
      <c r="W48" s="307">
        <v>32800</v>
      </c>
      <c r="X48" s="307">
        <v>34450</v>
      </c>
      <c r="Y48" s="307">
        <v>35710</v>
      </c>
      <c r="Z48" s="307">
        <v>37110</v>
      </c>
      <c r="AA48" s="307">
        <v>38550</v>
      </c>
      <c r="AB48" s="307">
        <v>37900</v>
      </c>
      <c r="AC48" s="307">
        <v>37810</v>
      </c>
      <c r="AD48" s="307">
        <v>37400</v>
      </c>
      <c r="AE48" s="307">
        <v>37470</v>
      </c>
      <c r="AF48" s="307">
        <v>37040</v>
      </c>
      <c r="AG48" s="307">
        <v>35820</v>
      </c>
      <c r="AH48" s="307">
        <v>35900</v>
      </c>
      <c r="AI48" s="307">
        <v>35490</v>
      </c>
      <c r="AJ48" s="307">
        <v>36200</v>
      </c>
      <c r="AK48" s="307">
        <v>35600</v>
      </c>
      <c r="AL48" s="307">
        <v>34260</v>
      </c>
      <c r="AM48" s="307">
        <v>34680</v>
      </c>
      <c r="AN48" s="307">
        <v>35360</v>
      </c>
      <c r="AO48" s="307">
        <v>35150</v>
      </c>
      <c r="AP48" s="307">
        <v>35670</v>
      </c>
      <c r="AQ48" s="307">
        <v>36980</v>
      </c>
      <c r="AR48" s="307">
        <v>38150</v>
      </c>
      <c r="AS48" s="307">
        <v>37860</v>
      </c>
      <c r="AT48" s="307">
        <v>37710</v>
      </c>
      <c r="AU48" s="307">
        <v>37170</v>
      </c>
      <c r="AV48" s="307">
        <v>36410</v>
      </c>
      <c r="AW48" s="307">
        <v>36440</v>
      </c>
      <c r="AX48" s="307">
        <v>36530</v>
      </c>
      <c r="AY48" s="307">
        <v>36680</v>
      </c>
      <c r="AZ48" s="307">
        <v>36860</v>
      </c>
      <c r="BA48" s="307">
        <v>37060</v>
      </c>
      <c r="BB48" s="307">
        <v>37260</v>
      </c>
      <c r="BC48" s="307">
        <v>37460</v>
      </c>
      <c r="BD48" s="307">
        <v>37640</v>
      </c>
      <c r="BE48" s="307">
        <v>37790</v>
      </c>
      <c r="BF48" s="307">
        <v>37910</v>
      </c>
    </row>
    <row r="49" spans="1:58" x14ac:dyDescent="0.2">
      <c r="A49" s="308" t="s">
        <v>45</v>
      </c>
      <c r="B49" s="305"/>
      <c r="C49" s="307">
        <v>29920</v>
      </c>
      <c r="D49" s="307">
        <v>29680</v>
      </c>
      <c r="E49" s="307">
        <v>29790</v>
      </c>
      <c r="F49" s="307">
        <v>30190</v>
      </c>
      <c r="G49" s="307">
        <v>29850</v>
      </c>
      <c r="H49" s="307">
        <v>30260</v>
      </c>
      <c r="I49" s="307">
        <v>29730</v>
      </c>
      <c r="J49" s="307">
        <v>28310</v>
      </c>
      <c r="K49" s="307">
        <v>27080</v>
      </c>
      <c r="L49" s="307">
        <v>26230</v>
      </c>
      <c r="M49" s="307">
        <v>25490</v>
      </c>
      <c r="N49" s="307">
        <v>25420</v>
      </c>
      <c r="O49" s="307">
        <v>25130</v>
      </c>
      <c r="P49" s="307">
        <v>25940</v>
      </c>
      <c r="Q49" s="307">
        <v>26780</v>
      </c>
      <c r="R49" s="307">
        <v>27700</v>
      </c>
      <c r="S49" s="307">
        <v>28700</v>
      </c>
      <c r="T49" s="307">
        <v>29950</v>
      </c>
      <c r="U49" s="307">
        <v>30360</v>
      </c>
      <c r="V49" s="307">
        <v>30930</v>
      </c>
      <c r="W49" s="307">
        <v>31780</v>
      </c>
      <c r="X49" s="307">
        <v>32750</v>
      </c>
      <c r="Y49" s="307">
        <v>34400</v>
      </c>
      <c r="Z49" s="307">
        <v>35660</v>
      </c>
      <c r="AA49" s="307">
        <v>37060</v>
      </c>
      <c r="AB49" s="307">
        <v>38510</v>
      </c>
      <c r="AC49" s="307">
        <v>37860</v>
      </c>
      <c r="AD49" s="307">
        <v>37760</v>
      </c>
      <c r="AE49" s="307">
        <v>37360</v>
      </c>
      <c r="AF49" s="307">
        <v>37430</v>
      </c>
      <c r="AG49" s="307">
        <v>37000</v>
      </c>
      <c r="AH49" s="307">
        <v>35780</v>
      </c>
      <c r="AI49" s="307">
        <v>35860</v>
      </c>
      <c r="AJ49" s="307">
        <v>35450</v>
      </c>
      <c r="AK49" s="307">
        <v>36160</v>
      </c>
      <c r="AL49" s="307">
        <v>35570</v>
      </c>
      <c r="AM49" s="307">
        <v>34230</v>
      </c>
      <c r="AN49" s="307">
        <v>34650</v>
      </c>
      <c r="AO49" s="307">
        <v>35320</v>
      </c>
      <c r="AP49" s="307">
        <v>35120</v>
      </c>
      <c r="AQ49" s="307">
        <v>35640</v>
      </c>
      <c r="AR49" s="307">
        <v>36950</v>
      </c>
      <c r="AS49" s="307">
        <v>38120</v>
      </c>
      <c r="AT49" s="307">
        <v>37820</v>
      </c>
      <c r="AU49" s="307">
        <v>37680</v>
      </c>
      <c r="AV49" s="307">
        <v>37140</v>
      </c>
      <c r="AW49" s="307">
        <v>36380</v>
      </c>
      <c r="AX49" s="307">
        <v>36400</v>
      </c>
      <c r="AY49" s="307">
        <v>36500</v>
      </c>
      <c r="AZ49" s="307">
        <v>36640</v>
      </c>
      <c r="BA49" s="307">
        <v>36830</v>
      </c>
      <c r="BB49" s="307">
        <v>37030</v>
      </c>
      <c r="BC49" s="307">
        <v>37230</v>
      </c>
      <c r="BD49" s="307">
        <v>37430</v>
      </c>
      <c r="BE49" s="307">
        <v>37600</v>
      </c>
      <c r="BF49" s="307">
        <v>37760</v>
      </c>
    </row>
    <row r="50" spans="1:58" x14ac:dyDescent="0.2">
      <c r="A50" s="308" t="s">
        <v>46</v>
      </c>
      <c r="B50" s="305"/>
      <c r="C50" s="307">
        <v>30380</v>
      </c>
      <c r="D50" s="307">
        <v>30010</v>
      </c>
      <c r="E50" s="307">
        <v>29680</v>
      </c>
      <c r="F50" s="307">
        <v>29790</v>
      </c>
      <c r="G50" s="307">
        <v>30180</v>
      </c>
      <c r="H50" s="307">
        <v>29740</v>
      </c>
      <c r="I50" s="307">
        <v>30120</v>
      </c>
      <c r="J50" s="307">
        <v>29600</v>
      </c>
      <c r="K50" s="307">
        <v>28230</v>
      </c>
      <c r="L50" s="307">
        <v>27030</v>
      </c>
      <c r="M50" s="307">
        <v>26180</v>
      </c>
      <c r="N50" s="307">
        <v>25440</v>
      </c>
      <c r="O50" s="307">
        <v>25380</v>
      </c>
      <c r="P50" s="307">
        <v>25090</v>
      </c>
      <c r="Q50" s="307">
        <v>25890</v>
      </c>
      <c r="R50" s="307">
        <v>26730</v>
      </c>
      <c r="S50" s="307">
        <v>27650</v>
      </c>
      <c r="T50" s="307">
        <v>28650</v>
      </c>
      <c r="U50" s="307">
        <v>29900</v>
      </c>
      <c r="V50" s="307">
        <v>30310</v>
      </c>
      <c r="W50" s="307">
        <v>30880</v>
      </c>
      <c r="X50" s="307">
        <v>31730</v>
      </c>
      <c r="Y50" s="307">
        <v>32700</v>
      </c>
      <c r="Z50" s="307">
        <v>34350</v>
      </c>
      <c r="AA50" s="307">
        <v>35610</v>
      </c>
      <c r="AB50" s="307">
        <v>37010</v>
      </c>
      <c r="AC50" s="307">
        <v>38450</v>
      </c>
      <c r="AD50" s="307">
        <v>37810</v>
      </c>
      <c r="AE50" s="307">
        <v>37710</v>
      </c>
      <c r="AF50" s="307">
        <v>37310</v>
      </c>
      <c r="AG50" s="307">
        <v>37380</v>
      </c>
      <c r="AH50" s="307">
        <v>36950</v>
      </c>
      <c r="AI50" s="307">
        <v>35730</v>
      </c>
      <c r="AJ50" s="307">
        <v>35810</v>
      </c>
      <c r="AK50" s="307">
        <v>35400</v>
      </c>
      <c r="AL50" s="307">
        <v>36120</v>
      </c>
      <c r="AM50" s="307">
        <v>35520</v>
      </c>
      <c r="AN50" s="307">
        <v>34180</v>
      </c>
      <c r="AO50" s="307">
        <v>34600</v>
      </c>
      <c r="AP50" s="307">
        <v>35280</v>
      </c>
      <c r="AQ50" s="307">
        <v>35070</v>
      </c>
      <c r="AR50" s="307">
        <v>35590</v>
      </c>
      <c r="AS50" s="307">
        <v>36900</v>
      </c>
      <c r="AT50" s="307">
        <v>38070</v>
      </c>
      <c r="AU50" s="307">
        <v>37780</v>
      </c>
      <c r="AV50" s="307">
        <v>37640</v>
      </c>
      <c r="AW50" s="307">
        <v>37090</v>
      </c>
      <c r="AX50" s="307">
        <v>36340</v>
      </c>
      <c r="AY50" s="307">
        <v>36360</v>
      </c>
      <c r="AZ50" s="307">
        <v>36460</v>
      </c>
      <c r="BA50" s="307">
        <v>36600</v>
      </c>
      <c r="BB50" s="307">
        <v>36790</v>
      </c>
      <c r="BC50" s="307">
        <v>36990</v>
      </c>
      <c r="BD50" s="307">
        <v>37190</v>
      </c>
      <c r="BE50" s="307">
        <v>37390</v>
      </c>
      <c r="BF50" s="307">
        <v>37570</v>
      </c>
    </row>
    <row r="51" spans="1:58" x14ac:dyDescent="0.2">
      <c r="A51" s="308" t="s">
        <v>47</v>
      </c>
      <c r="B51" s="305"/>
      <c r="C51" s="307">
        <v>31600</v>
      </c>
      <c r="D51" s="307">
        <v>30440</v>
      </c>
      <c r="E51" s="307">
        <v>30000</v>
      </c>
      <c r="F51" s="307">
        <v>29660</v>
      </c>
      <c r="G51" s="307">
        <v>29760</v>
      </c>
      <c r="H51" s="307">
        <v>30090</v>
      </c>
      <c r="I51" s="307">
        <v>29590</v>
      </c>
      <c r="J51" s="307">
        <v>29980</v>
      </c>
      <c r="K51" s="307">
        <v>29510</v>
      </c>
      <c r="L51" s="307">
        <v>28170</v>
      </c>
      <c r="M51" s="307">
        <v>26970</v>
      </c>
      <c r="N51" s="307">
        <v>26130</v>
      </c>
      <c r="O51" s="307">
        <v>25380</v>
      </c>
      <c r="P51" s="307">
        <v>25320</v>
      </c>
      <c r="Q51" s="307">
        <v>25030</v>
      </c>
      <c r="R51" s="307">
        <v>25830</v>
      </c>
      <c r="S51" s="307">
        <v>26680</v>
      </c>
      <c r="T51" s="307">
        <v>27590</v>
      </c>
      <c r="U51" s="307">
        <v>28600</v>
      </c>
      <c r="V51" s="307">
        <v>29840</v>
      </c>
      <c r="W51" s="307">
        <v>30250</v>
      </c>
      <c r="X51" s="307">
        <v>30820</v>
      </c>
      <c r="Y51" s="307">
        <v>31680</v>
      </c>
      <c r="Z51" s="307">
        <v>32650</v>
      </c>
      <c r="AA51" s="307">
        <v>34290</v>
      </c>
      <c r="AB51" s="307">
        <v>35550</v>
      </c>
      <c r="AC51" s="307">
        <v>36950</v>
      </c>
      <c r="AD51" s="307">
        <v>38390</v>
      </c>
      <c r="AE51" s="307">
        <v>37750</v>
      </c>
      <c r="AF51" s="307">
        <v>37650</v>
      </c>
      <c r="AG51" s="307">
        <v>37250</v>
      </c>
      <c r="AH51" s="307">
        <v>37330</v>
      </c>
      <c r="AI51" s="307">
        <v>36900</v>
      </c>
      <c r="AJ51" s="307">
        <v>35680</v>
      </c>
      <c r="AK51" s="307">
        <v>35760</v>
      </c>
      <c r="AL51" s="307">
        <v>35350</v>
      </c>
      <c r="AM51" s="307">
        <v>36070</v>
      </c>
      <c r="AN51" s="307">
        <v>35470</v>
      </c>
      <c r="AO51" s="307">
        <v>34130</v>
      </c>
      <c r="AP51" s="307">
        <v>34550</v>
      </c>
      <c r="AQ51" s="307">
        <v>35230</v>
      </c>
      <c r="AR51" s="307">
        <v>35020</v>
      </c>
      <c r="AS51" s="307">
        <v>35540</v>
      </c>
      <c r="AT51" s="307">
        <v>36850</v>
      </c>
      <c r="AU51" s="307">
        <v>38020</v>
      </c>
      <c r="AV51" s="307">
        <v>37730</v>
      </c>
      <c r="AW51" s="307">
        <v>37590</v>
      </c>
      <c r="AX51" s="307">
        <v>37050</v>
      </c>
      <c r="AY51" s="307">
        <v>36290</v>
      </c>
      <c r="AZ51" s="307">
        <v>36320</v>
      </c>
      <c r="BA51" s="307">
        <v>36410</v>
      </c>
      <c r="BB51" s="307">
        <v>36560</v>
      </c>
      <c r="BC51" s="307">
        <v>36740</v>
      </c>
      <c r="BD51" s="307">
        <v>36940</v>
      </c>
      <c r="BE51" s="307">
        <v>37150</v>
      </c>
      <c r="BF51" s="307">
        <v>37340</v>
      </c>
    </row>
    <row r="52" spans="1:58" x14ac:dyDescent="0.2">
      <c r="A52" s="308" t="s">
        <v>48</v>
      </c>
      <c r="B52" s="305"/>
      <c r="C52" s="307">
        <v>31940</v>
      </c>
      <c r="D52" s="307">
        <v>31620</v>
      </c>
      <c r="E52" s="307">
        <v>30390</v>
      </c>
      <c r="F52" s="307">
        <v>29960</v>
      </c>
      <c r="G52" s="307">
        <v>29590</v>
      </c>
      <c r="H52" s="307">
        <v>29650</v>
      </c>
      <c r="I52" s="307">
        <v>29930</v>
      </c>
      <c r="J52" s="307">
        <v>29450</v>
      </c>
      <c r="K52" s="307">
        <v>29880</v>
      </c>
      <c r="L52" s="307">
        <v>29440</v>
      </c>
      <c r="M52" s="307">
        <v>28100</v>
      </c>
      <c r="N52" s="307">
        <v>26900</v>
      </c>
      <c r="O52" s="307">
        <v>26060</v>
      </c>
      <c r="P52" s="307">
        <v>25320</v>
      </c>
      <c r="Q52" s="307">
        <v>25260</v>
      </c>
      <c r="R52" s="307">
        <v>24970</v>
      </c>
      <c r="S52" s="307">
        <v>25770</v>
      </c>
      <c r="T52" s="307">
        <v>26610</v>
      </c>
      <c r="U52" s="307">
        <v>27530</v>
      </c>
      <c r="V52" s="307">
        <v>28530</v>
      </c>
      <c r="W52" s="307">
        <v>29780</v>
      </c>
      <c r="X52" s="307">
        <v>30180</v>
      </c>
      <c r="Y52" s="307">
        <v>30750</v>
      </c>
      <c r="Z52" s="307">
        <v>31610</v>
      </c>
      <c r="AA52" s="307">
        <v>32580</v>
      </c>
      <c r="AB52" s="307">
        <v>34220</v>
      </c>
      <c r="AC52" s="307">
        <v>35480</v>
      </c>
      <c r="AD52" s="307">
        <v>36880</v>
      </c>
      <c r="AE52" s="307">
        <v>38320</v>
      </c>
      <c r="AF52" s="307">
        <v>37680</v>
      </c>
      <c r="AG52" s="307">
        <v>37580</v>
      </c>
      <c r="AH52" s="307">
        <v>37180</v>
      </c>
      <c r="AI52" s="307">
        <v>37260</v>
      </c>
      <c r="AJ52" s="307">
        <v>36830</v>
      </c>
      <c r="AK52" s="307">
        <v>35610</v>
      </c>
      <c r="AL52" s="307">
        <v>35690</v>
      </c>
      <c r="AM52" s="307">
        <v>35290</v>
      </c>
      <c r="AN52" s="307">
        <v>36000</v>
      </c>
      <c r="AO52" s="307">
        <v>35410</v>
      </c>
      <c r="AP52" s="307">
        <v>34070</v>
      </c>
      <c r="AQ52" s="307">
        <v>34490</v>
      </c>
      <c r="AR52" s="307">
        <v>35160</v>
      </c>
      <c r="AS52" s="307">
        <v>34960</v>
      </c>
      <c r="AT52" s="307">
        <v>35480</v>
      </c>
      <c r="AU52" s="307">
        <v>36790</v>
      </c>
      <c r="AV52" s="307">
        <v>37960</v>
      </c>
      <c r="AW52" s="307">
        <v>37670</v>
      </c>
      <c r="AX52" s="307">
        <v>37530</v>
      </c>
      <c r="AY52" s="307">
        <v>36990</v>
      </c>
      <c r="AZ52" s="307">
        <v>36230</v>
      </c>
      <c r="BA52" s="307">
        <v>36260</v>
      </c>
      <c r="BB52" s="307">
        <v>36350</v>
      </c>
      <c r="BC52" s="307">
        <v>36500</v>
      </c>
      <c r="BD52" s="307">
        <v>36690</v>
      </c>
      <c r="BE52" s="307">
        <v>36890</v>
      </c>
      <c r="BF52" s="307">
        <v>37090</v>
      </c>
    </row>
    <row r="53" spans="1:58" x14ac:dyDescent="0.2">
      <c r="A53" s="308" t="s">
        <v>49</v>
      </c>
      <c r="B53" s="305"/>
      <c r="C53" s="307">
        <v>32110</v>
      </c>
      <c r="D53" s="307">
        <v>31950</v>
      </c>
      <c r="E53" s="307">
        <v>31520</v>
      </c>
      <c r="F53" s="307">
        <v>30330</v>
      </c>
      <c r="G53" s="307">
        <v>29950</v>
      </c>
      <c r="H53" s="307">
        <v>29450</v>
      </c>
      <c r="I53" s="307">
        <v>29480</v>
      </c>
      <c r="J53" s="307">
        <v>29780</v>
      </c>
      <c r="K53" s="307">
        <v>29330</v>
      </c>
      <c r="L53" s="307">
        <v>29790</v>
      </c>
      <c r="M53" s="307">
        <v>29350</v>
      </c>
      <c r="N53" s="307">
        <v>28010</v>
      </c>
      <c r="O53" s="307">
        <v>26810</v>
      </c>
      <c r="P53" s="307">
        <v>25980</v>
      </c>
      <c r="Q53" s="307">
        <v>25240</v>
      </c>
      <c r="R53" s="307">
        <v>25180</v>
      </c>
      <c r="S53" s="307">
        <v>24890</v>
      </c>
      <c r="T53" s="307">
        <v>25690</v>
      </c>
      <c r="U53" s="307">
        <v>26530</v>
      </c>
      <c r="V53" s="307">
        <v>27450</v>
      </c>
      <c r="W53" s="307">
        <v>28450</v>
      </c>
      <c r="X53" s="307">
        <v>29700</v>
      </c>
      <c r="Y53" s="307">
        <v>30100</v>
      </c>
      <c r="Z53" s="307">
        <v>30670</v>
      </c>
      <c r="AA53" s="307">
        <v>31530</v>
      </c>
      <c r="AB53" s="307">
        <v>32500</v>
      </c>
      <c r="AC53" s="307">
        <v>34140</v>
      </c>
      <c r="AD53" s="307">
        <v>35400</v>
      </c>
      <c r="AE53" s="307">
        <v>36800</v>
      </c>
      <c r="AF53" s="307">
        <v>38240</v>
      </c>
      <c r="AG53" s="307">
        <v>37600</v>
      </c>
      <c r="AH53" s="307">
        <v>37500</v>
      </c>
      <c r="AI53" s="307">
        <v>37100</v>
      </c>
      <c r="AJ53" s="307">
        <v>37180</v>
      </c>
      <c r="AK53" s="307">
        <v>36750</v>
      </c>
      <c r="AL53" s="307">
        <v>35540</v>
      </c>
      <c r="AM53" s="307">
        <v>35620</v>
      </c>
      <c r="AN53" s="307">
        <v>35210</v>
      </c>
      <c r="AO53" s="307">
        <v>35930</v>
      </c>
      <c r="AP53" s="307">
        <v>35330</v>
      </c>
      <c r="AQ53" s="307">
        <v>34000</v>
      </c>
      <c r="AR53" s="307">
        <v>34420</v>
      </c>
      <c r="AS53" s="307">
        <v>35090</v>
      </c>
      <c r="AT53" s="307">
        <v>34890</v>
      </c>
      <c r="AU53" s="307">
        <v>35410</v>
      </c>
      <c r="AV53" s="307">
        <v>36720</v>
      </c>
      <c r="AW53" s="307">
        <v>37890</v>
      </c>
      <c r="AX53" s="307">
        <v>37600</v>
      </c>
      <c r="AY53" s="307">
        <v>37460</v>
      </c>
      <c r="AZ53" s="307">
        <v>36920</v>
      </c>
      <c r="BA53" s="307">
        <v>36160</v>
      </c>
      <c r="BB53" s="307">
        <v>36190</v>
      </c>
      <c r="BC53" s="307">
        <v>36280</v>
      </c>
      <c r="BD53" s="307">
        <v>36430</v>
      </c>
      <c r="BE53" s="307">
        <v>36620</v>
      </c>
      <c r="BF53" s="307">
        <v>36820</v>
      </c>
    </row>
    <row r="54" spans="1:58" x14ac:dyDescent="0.2">
      <c r="A54" s="308" t="s">
        <v>50</v>
      </c>
      <c r="B54" s="305"/>
      <c r="C54" s="307">
        <v>31490</v>
      </c>
      <c r="D54" s="307">
        <v>32090</v>
      </c>
      <c r="E54" s="307">
        <v>31870</v>
      </c>
      <c r="F54" s="307">
        <v>31460</v>
      </c>
      <c r="G54" s="307">
        <v>30270</v>
      </c>
      <c r="H54" s="307">
        <v>29830</v>
      </c>
      <c r="I54" s="307">
        <v>29270</v>
      </c>
      <c r="J54" s="307">
        <v>29310</v>
      </c>
      <c r="K54" s="307">
        <v>29650</v>
      </c>
      <c r="L54" s="307">
        <v>29230</v>
      </c>
      <c r="M54" s="307">
        <v>29690</v>
      </c>
      <c r="N54" s="307">
        <v>29250</v>
      </c>
      <c r="O54" s="307">
        <v>27910</v>
      </c>
      <c r="P54" s="307">
        <v>26720</v>
      </c>
      <c r="Q54" s="307">
        <v>25890</v>
      </c>
      <c r="R54" s="307">
        <v>25150</v>
      </c>
      <c r="S54" s="307">
        <v>25090</v>
      </c>
      <c r="T54" s="307">
        <v>24800</v>
      </c>
      <c r="U54" s="307">
        <v>25600</v>
      </c>
      <c r="V54" s="307">
        <v>26440</v>
      </c>
      <c r="W54" s="307">
        <v>27360</v>
      </c>
      <c r="X54" s="307">
        <v>28360</v>
      </c>
      <c r="Y54" s="307">
        <v>29610</v>
      </c>
      <c r="Z54" s="307">
        <v>30010</v>
      </c>
      <c r="AA54" s="307">
        <v>30580</v>
      </c>
      <c r="AB54" s="307">
        <v>31440</v>
      </c>
      <c r="AC54" s="307">
        <v>32410</v>
      </c>
      <c r="AD54" s="307">
        <v>34050</v>
      </c>
      <c r="AE54" s="307">
        <v>35310</v>
      </c>
      <c r="AF54" s="307">
        <v>36710</v>
      </c>
      <c r="AG54" s="307">
        <v>38150</v>
      </c>
      <c r="AH54" s="307">
        <v>37500</v>
      </c>
      <c r="AI54" s="307">
        <v>37410</v>
      </c>
      <c r="AJ54" s="307">
        <v>37010</v>
      </c>
      <c r="AK54" s="307">
        <v>37090</v>
      </c>
      <c r="AL54" s="307">
        <v>36660</v>
      </c>
      <c r="AM54" s="307">
        <v>35450</v>
      </c>
      <c r="AN54" s="307">
        <v>35530</v>
      </c>
      <c r="AO54" s="307">
        <v>35130</v>
      </c>
      <c r="AP54" s="307">
        <v>35840</v>
      </c>
      <c r="AQ54" s="307">
        <v>35250</v>
      </c>
      <c r="AR54" s="307">
        <v>33920</v>
      </c>
      <c r="AS54" s="307">
        <v>34340</v>
      </c>
      <c r="AT54" s="307">
        <v>35010</v>
      </c>
      <c r="AU54" s="307">
        <v>34810</v>
      </c>
      <c r="AV54" s="307">
        <v>35330</v>
      </c>
      <c r="AW54" s="307">
        <v>36640</v>
      </c>
      <c r="AX54" s="307">
        <v>37810</v>
      </c>
      <c r="AY54" s="307">
        <v>37520</v>
      </c>
      <c r="AZ54" s="307">
        <v>37380</v>
      </c>
      <c r="BA54" s="307">
        <v>36840</v>
      </c>
      <c r="BB54" s="307">
        <v>36090</v>
      </c>
      <c r="BC54" s="307">
        <v>36110</v>
      </c>
      <c r="BD54" s="307">
        <v>36210</v>
      </c>
      <c r="BE54" s="307">
        <v>36350</v>
      </c>
      <c r="BF54" s="307">
        <v>36540</v>
      </c>
    </row>
    <row r="55" spans="1:58" x14ac:dyDescent="0.2">
      <c r="A55" s="308" t="s">
        <v>51</v>
      </c>
      <c r="B55" s="305"/>
      <c r="C55" s="307">
        <v>30540</v>
      </c>
      <c r="D55" s="307">
        <v>31410</v>
      </c>
      <c r="E55" s="307">
        <v>31980</v>
      </c>
      <c r="F55" s="307">
        <v>31810</v>
      </c>
      <c r="G55" s="307">
        <v>31340</v>
      </c>
      <c r="H55" s="307">
        <v>30130</v>
      </c>
      <c r="I55" s="307">
        <v>29640</v>
      </c>
      <c r="J55" s="307">
        <v>29100</v>
      </c>
      <c r="K55" s="307">
        <v>29180</v>
      </c>
      <c r="L55" s="307">
        <v>29540</v>
      </c>
      <c r="M55" s="307">
        <v>29120</v>
      </c>
      <c r="N55" s="307">
        <v>29580</v>
      </c>
      <c r="O55" s="307">
        <v>29140</v>
      </c>
      <c r="P55" s="307">
        <v>27810</v>
      </c>
      <c r="Q55" s="307">
        <v>26610</v>
      </c>
      <c r="R55" s="307">
        <v>25780</v>
      </c>
      <c r="S55" s="307">
        <v>25050</v>
      </c>
      <c r="T55" s="307">
        <v>24990</v>
      </c>
      <c r="U55" s="307">
        <v>24700</v>
      </c>
      <c r="V55" s="307">
        <v>25500</v>
      </c>
      <c r="W55" s="307">
        <v>26340</v>
      </c>
      <c r="X55" s="307">
        <v>27260</v>
      </c>
      <c r="Y55" s="307">
        <v>28260</v>
      </c>
      <c r="Z55" s="307">
        <v>29500</v>
      </c>
      <c r="AA55" s="307">
        <v>29910</v>
      </c>
      <c r="AB55" s="307">
        <v>30480</v>
      </c>
      <c r="AC55" s="307">
        <v>31340</v>
      </c>
      <c r="AD55" s="307">
        <v>32310</v>
      </c>
      <c r="AE55" s="307">
        <v>33950</v>
      </c>
      <c r="AF55" s="307">
        <v>35210</v>
      </c>
      <c r="AG55" s="307">
        <v>36600</v>
      </c>
      <c r="AH55" s="307">
        <v>38040</v>
      </c>
      <c r="AI55" s="307">
        <v>37400</v>
      </c>
      <c r="AJ55" s="307">
        <v>37310</v>
      </c>
      <c r="AK55" s="307">
        <v>36910</v>
      </c>
      <c r="AL55" s="307">
        <v>36990</v>
      </c>
      <c r="AM55" s="307">
        <v>36560</v>
      </c>
      <c r="AN55" s="307">
        <v>35350</v>
      </c>
      <c r="AO55" s="307">
        <v>35440</v>
      </c>
      <c r="AP55" s="307">
        <v>35030</v>
      </c>
      <c r="AQ55" s="307">
        <v>35750</v>
      </c>
      <c r="AR55" s="307">
        <v>35150</v>
      </c>
      <c r="AS55" s="307">
        <v>33830</v>
      </c>
      <c r="AT55" s="307">
        <v>34250</v>
      </c>
      <c r="AU55" s="307">
        <v>34920</v>
      </c>
      <c r="AV55" s="307">
        <v>34720</v>
      </c>
      <c r="AW55" s="307">
        <v>35240</v>
      </c>
      <c r="AX55" s="307">
        <v>36550</v>
      </c>
      <c r="AY55" s="307">
        <v>37710</v>
      </c>
      <c r="AZ55" s="307">
        <v>37430</v>
      </c>
      <c r="BA55" s="307">
        <v>37290</v>
      </c>
      <c r="BB55" s="307">
        <v>36750</v>
      </c>
      <c r="BC55" s="307">
        <v>36000</v>
      </c>
      <c r="BD55" s="307">
        <v>36020</v>
      </c>
      <c r="BE55" s="307">
        <v>36120</v>
      </c>
      <c r="BF55" s="307">
        <v>36270</v>
      </c>
    </row>
    <row r="56" spans="1:58" x14ac:dyDescent="0.2">
      <c r="A56" s="308" t="s">
        <v>52</v>
      </c>
      <c r="B56" s="305"/>
      <c r="C56" s="307">
        <v>30080</v>
      </c>
      <c r="D56" s="307">
        <v>30450</v>
      </c>
      <c r="E56" s="307">
        <v>31300</v>
      </c>
      <c r="F56" s="307">
        <v>31860</v>
      </c>
      <c r="G56" s="307">
        <v>31670</v>
      </c>
      <c r="H56" s="307">
        <v>31180</v>
      </c>
      <c r="I56" s="307">
        <v>29940</v>
      </c>
      <c r="J56" s="307">
        <v>29460</v>
      </c>
      <c r="K56" s="307">
        <v>28950</v>
      </c>
      <c r="L56" s="307">
        <v>29050</v>
      </c>
      <c r="M56" s="307">
        <v>29410</v>
      </c>
      <c r="N56" s="307">
        <v>28990</v>
      </c>
      <c r="O56" s="307">
        <v>29450</v>
      </c>
      <c r="P56" s="307">
        <v>29020</v>
      </c>
      <c r="Q56" s="307">
        <v>27690</v>
      </c>
      <c r="R56" s="307">
        <v>26500</v>
      </c>
      <c r="S56" s="307">
        <v>25670</v>
      </c>
      <c r="T56" s="307">
        <v>24930</v>
      </c>
      <c r="U56" s="307">
        <v>24880</v>
      </c>
      <c r="V56" s="307">
        <v>24590</v>
      </c>
      <c r="W56" s="307">
        <v>25390</v>
      </c>
      <c r="X56" s="307">
        <v>26230</v>
      </c>
      <c r="Y56" s="307">
        <v>27150</v>
      </c>
      <c r="Z56" s="307">
        <v>28150</v>
      </c>
      <c r="AA56" s="307">
        <v>29390</v>
      </c>
      <c r="AB56" s="307">
        <v>29800</v>
      </c>
      <c r="AC56" s="307">
        <v>30370</v>
      </c>
      <c r="AD56" s="307">
        <v>31230</v>
      </c>
      <c r="AE56" s="307">
        <v>32200</v>
      </c>
      <c r="AF56" s="307">
        <v>33840</v>
      </c>
      <c r="AG56" s="307">
        <v>35090</v>
      </c>
      <c r="AH56" s="307">
        <v>36490</v>
      </c>
      <c r="AI56" s="307">
        <v>37930</v>
      </c>
      <c r="AJ56" s="307">
        <v>37290</v>
      </c>
      <c r="AK56" s="307">
        <v>37200</v>
      </c>
      <c r="AL56" s="307">
        <v>36800</v>
      </c>
      <c r="AM56" s="307">
        <v>36880</v>
      </c>
      <c r="AN56" s="307">
        <v>36460</v>
      </c>
      <c r="AO56" s="307">
        <v>35250</v>
      </c>
      <c r="AP56" s="307">
        <v>35330</v>
      </c>
      <c r="AQ56" s="307">
        <v>34930</v>
      </c>
      <c r="AR56" s="307">
        <v>35640</v>
      </c>
      <c r="AS56" s="307">
        <v>35050</v>
      </c>
      <c r="AT56" s="307">
        <v>33720</v>
      </c>
      <c r="AU56" s="307">
        <v>34150</v>
      </c>
      <c r="AV56" s="307">
        <v>34820</v>
      </c>
      <c r="AW56" s="307">
        <v>34620</v>
      </c>
      <c r="AX56" s="307">
        <v>35140</v>
      </c>
      <c r="AY56" s="307">
        <v>36450</v>
      </c>
      <c r="AZ56" s="307">
        <v>37610</v>
      </c>
      <c r="BA56" s="307">
        <v>37330</v>
      </c>
      <c r="BB56" s="307">
        <v>37190</v>
      </c>
      <c r="BC56" s="307">
        <v>36650</v>
      </c>
      <c r="BD56" s="307">
        <v>35900</v>
      </c>
      <c r="BE56" s="307">
        <v>35930</v>
      </c>
      <c r="BF56" s="307">
        <v>36020</v>
      </c>
    </row>
    <row r="57" spans="1:58" x14ac:dyDescent="0.2">
      <c r="A57" s="308" t="s">
        <v>53</v>
      </c>
      <c r="B57" s="305"/>
      <c r="C57" s="307">
        <v>28610</v>
      </c>
      <c r="D57" s="307">
        <v>29990</v>
      </c>
      <c r="E57" s="307">
        <v>30290</v>
      </c>
      <c r="F57" s="307">
        <v>31230</v>
      </c>
      <c r="G57" s="307">
        <v>31740</v>
      </c>
      <c r="H57" s="307">
        <v>31450</v>
      </c>
      <c r="I57" s="307">
        <v>30970</v>
      </c>
      <c r="J57" s="307">
        <v>29740</v>
      </c>
      <c r="K57" s="307">
        <v>29300</v>
      </c>
      <c r="L57" s="307">
        <v>28820</v>
      </c>
      <c r="M57" s="307">
        <v>28920</v>
      </c>
      <c r="N57" s="307">
        <v>29280</v>
      </c>
      <c r="O57" s="307">
        <v>28860</v>
      </c>
      <c r="P57" s="307">
        <v>29320</v>
      </c>
      <c r="Q57" s="307">
        <v>28890</v>
      </c>
      <c r="R57" s="307">
        <v>27560</v>
      </c>
      <c r="S57" s="307">
        <v>26380</v>
      </c>
      <c r="T57" s="307">
        <v>25550</v>
      </c>
      <c r="U57" s="307">
        <v>24820</v>
      </c>
      <c r="V57" s="307">
        <v>24760</v>
      </c>
      <c r="W57" s="307">
        <v>24480</v>
      </c>
      <c r="X57" s="307">
        <v>25280</v>
      </c>
      <c r="Y57" s="307">
        <v>26120</v>
      </c>
      <c r="Z57" s="307">
        <v>27030</v>
      </c>
      <c r="AA57" s="307">
        <v>28030</v>
      </c>
      <c r="AB57" s="307">
        <v>29280</v>
      </c>
      <c r="AC57" s="307">
        <v>29680</v>
      </c>
      <c r="AD57" s="307">
        <v>30250</v>
      </c>
      <c r="AE57" s="307">
        <v>31110</v>
      </c>
      <c r="AF57" s="307">
        <v>32080</v>
      </c>
      <c r="AG57" s="307">
        <v>33720</v>
      </c>
      <c r="AH57" s="307">
        <v>34970</v>
      </c>
      <c r="AI57" s="307">
        <v>36370</v>
      </c>
      <c r="AJ57" s="307">
        <v>37810</v>
      </c>
      <c r="AK57" s="307">
        <v>37170</v>
      </c>
      <c r="AL57" s="307">
        <v>37080</v>
      </c>
      <c r="AM57" s="307">
        <v>36690</v>
      </c>
      <c r="AN57" s="307">
        <v>36770</v>
      </c>
      <c r="AO57" s="307">
        <v>36340</v>
      </c>
      <c r="AP57" s="307">
        <v>35130</v>
      </c>
      <c r="AQ57" s="307">
        <v>35220</v>
      </c>
      <c r="AR57" s="307">
        <v>34820</v>
      </c>
      <c r="AS57" s="307">
        <v>35530</v>
      </c>
      <c r="AT57" s="307">
        <v>34940</v>
      </c>
      <c r="AU57" s="307">
        <v>33620</v>
      </c>
      <c r="AV57" s="307">
        <v>34040</v>
      </c>
      <c r="AW57" s="307">
        <v>34710</v>
      </c>
      <c r="AX57" s="307">
        <v>34510</v>
      </c>
      <c r="AY57" s="307">
        <v>35030</v>
      </c>
      <c r="AZ57" s="307">
        <v>36340</v>
      </c>
      <c r="BA57" s="307">
        <v>37510</v>
      </c>
      <c r="BB57" s="307">
        <v>37220</v>
      </c>
      <c r="BC57" s="307">
        <v>37080</v>
      </c>
      <c r="BD57" s="307">
        <v>36550</v>
      </c>
      <c r="BE57" s="307">
        <v>35800</v>
      </c>
      <c r="BF57" s="307">
        <v>35820</v>
      </c>
    </row>
    <row r="58" spans="1:58" x14ac:dyDescent="0.2">
      <c r="A58" s="308" t="s">
        <v>54</v>
      </c>
      <c r="B58" s="305"/>
      <c r="C58" s="307">
        <v>28400</v>
      </c>
      <c r="D58" s="307">
        <v>28500</v>
      </c>
      <c r="E58" s="307">
        <v>29810</v>
      </c>
      <c r="F58" s="307">
        <v>30190</v>
      </c>
      <c r="G58" s="307">
        <v>31120</v>
      </c>
      <c r="H58" s="307">
        <v>31550</v>
      </c>
      <c r="I58" s="307">
        <v>31240</v>
      </c>
      <c r="J58" s="307">
        <v>30770</v>
      </c>
      <c r="K58" s="307">
        <v>29580</v>
      </c>
      <c r="L58" s="307">
        <v>29160</v>
      </c>
      <c r="M58" s="307">
        <v>28680</v>
      </c>
      <c r="N58" s="307">
        <v>28780</v>
      </c>
      <c r="O58" s="307">
        <v>29140</v>
      </c>
      <c r="P58" s="307">
        <v>28720</v>
      </c>
      <c r="Q58" s="307">
        <v>29180</v>
      </c>
      <c r="R58" s="307">
        <v>28750</v>
      </c>
      <c r="S58" s="307">
        <v>27430</v>
      </c>
      <c r="T58" s="307">
        <v>26250</v>
      </c>
      <c r="U58" s="307">
        <v>25420</v>
      </c>
      <c r="V58" s="307">
        <v>24690</v>
      </c>
      <c r="W58" s="307">
        <v>24640</v>
      </c>
      <c r="X58" s="307">
        <v>24360</v>
      </c>
      <c r="Y58" s="307">
        <v>25160</v>
      </c>
      <c r="Z58" s="307">
        <v>26000</v>
      </c>
      <c r="AA58" s="307">
        <v>26910</v>
      </c>
      <c r="AB58" s="307">
        <v>27910</v>
      </c>
      <c r="AC58" s="307">
        <v>29150</v>
      </c>
      <c r="AD58" s="307">
        <v>29560</v>
      </c>
      <c r="AE58" s="307">
        <v>30130</v>
      </c>
      <c r="AF58" s="307">
        <v>30990</v>
      </c>
      <c r="AG58" s="307">
        <v>31960</v>
      </c>
      <c r="AH58" s="307">
        <v>33600</v>
      </c>
      <c r="AI58" s="307">
        <v>34850</v>
      </c>
      <c r="AJ58" s="307">
        <v>36250</v>
      </c>
      <c r="AK58" s="307">
        <v>37680</v>
      </c>
      <c r="AL58" s="307">
        <v>37050</v>
      </c>
      <c r="AM58" s="307">
        <v>36960</v>
      </c>
      <c r="AN58" s="307">
        <v>36570</v>
      </c>
      <c r="AO58" s="307">
        <v>36650</v>
      </c>
      <c r="AP58" s="307">
        <v>36220</v>
      </c>
      <c r="AQ58" s="307">
        <v>35020</v>
      </c>
      <c r="AR58" s="307">
        <v>35100</v>
      </c>
      <c r="AS58" s="307">
        <v>34700</v>
      </c>
      <c r="AT58" s="307">
        <v>35420</v>
      </c>
      <c r="AU58" s="307">
        <v>34830</v>
      </c>
      <c r="AV58" s="307">
        <v>33510</v>
      </c>
      <c r="AW58" s="307">
        <v>33930</v>
      </c>
      <c r="AX58" s="307">
        <v>34600</v>
      </c>
      <c r="AY58" s="307">
        <v>34400</v>
      </c>
      <c r="AZ58" s="307">
        <v>34920</v>
      </c>
      <c r="BA58" s="307">
        <v>36230</v>
      </c>
      <c r="BB58" s="307">
        <v>37400</v>
      </c>
      <c r="BC58" s="307">
        <v>37110</v>
      </c>
      <c r="BD58" s="307">
        <v>36970</v>
      </c>
      <c r="BE58" s="307">
        <v>36440</v>
      </c>
      <c r="BF58" s="307">
        <v>35690</v>
      </c>
    </row>
    <row r="59" spans="1:58" x14ac:dyDescent="0.2">
      <c r="A59" s="308" t="s">
        <v>55</v>
      </c>
      <c r="B59" s="305"/>
      <c r="C59" s="307">
        <v>27750</v>
      </c>
      <c r="D59" s="307">
        <v>28290</v>
      </c>
      <c r="E59" s="307">
        <v>28330</v>
      </c>
      <c r="F59" s="307">
        <v>29660</v>
      </c>
      <c r="G59" s="307">
        <v>30040</v>
      </c>
      <c r="H59" s="307">
        <v>30930</v>
      </c>
      <c r="I59" s="307">
        <v>31330</v>
      </c>
      <c r="J59" s="307">
        <v>31030</v>
      </c>
      <c r="K59" s="307">
        <v>30600</v>
      </c>
      <c r="L59" s="307">
        <v>29430</v>
      </c>
      <c r="M59" s="307">
        <v>29010</v>
      </c>
      <c r="N59" s="307">
        <v>28530</v>
      </c>
      <c r="O59" s="307">
        <v>28630</v>
      </c>
      <c r="P59" s="307">
        <v>29000</v>
      </c>
      <c r="Q59" s="307">
        <v>28580</v>
      </c>
      <c r="R59" s="307">
        <v>29040</v>
      </c>
      <c r="S59" s="307">
        <v>28610</v>
      </c>
      <c r="T59" s="307">
        <v>27300</v>
      </c>
      <c r="U59" s="307">
        <v>26120</v>
      </c>
      <c r="V59" s="307">
        <v>25300</v>
      </c>
      <c r="W59" s="307">
        <v>24570</v>
      </c>
      <c r="X59" s="307">
        <v>24510</v>
      </c>
      <c r="Y59" s="307">
        <v>24230</v>
      </c>
      <c r="Z59" s="307">
        <v>25030</v>
      </c>
      <c r="AA59" s="307">
        <v>25870</v>
      </c>
      <c r="AB59" s="307">
        <v>26790</v>
      </c>
      <c r="AC59" s="307">
        <v>27790</v>
      </c>
      <c r="AD59" s="307">
        <v>29030</v>
      </c>
      <c r="AE59" s="307">
        <v>29440</v>
      </c>
      <c r="AF59" s="307">
        <v>30010</v>
      </c>
      <c r="AG59" s="307">
        <v>30860</v>
      </c>
      <c r="AH59" s="307">
        <v>31830</v>
      </c>
      <c r="AI59" s="307">
        <v>33470</v>
      </c>
      <c r="AJ59" s="307">
        <v>34720</v>
      </c>
      <c r="AK59" s="307">
        <v>36120</v>
      </c>
      <c r="AL59" s="307">
        <v>37550</v>
      </c>
      <c r="AM59" s="307">
        <v>36920</v>
      </c>
      <c r="AN59" s="307">
        <v>36830</v>
      </c>
      <c r="AO59" s="307">
        <v>36440</v>
      </c>
      <c r="AP59" s="307">
        <v>36520</v>
      </c>
      <c r="AQ59" s="307">
        <v>36100</v>
      </c>
      <c r="AR59" s="307">
        <v>34900</v>
      </c>
      <c r="AS59" s="307">
        <v>34980</v>
      </c>
      <c r="AT59" s="307">
        <v>34580</v>
      </c>
      <c r="AU59" s="307">
        <v>35300</v>
      </c>
      <c r="AV59" s="307">
        <v>34710</v>
      </c>
      <c r="AW59" s="307">
        <v>33390</v>
      </c>
      <c r="AX59" s="307">
        <v>33810</v>
      </c>
      <c r="AY59" s="307">
        <v>34490</v>
      </c>
      <c r="AZ59" s="307">
        <v>34290</v>
      </c>
      <c r="BA59" s="307">
        <v>34810</v>
      </c>
      <c r="BB59" s="307">
        <v>36120</v>
      </c>
      <c r="BC59" s="307">
        <v>37280</v>
      </c>
      <c r="BD59" s="307">
        <v>37000</v>
      </c>
      <c r="BE59" s="307">
        <v>36860</v>
      </c>
      <c r="BF59" s="307">
        <v>36330</v>
      </c>
    </row>
    <row r="60" spans="1:58" x14ac:dyDescent="0.2">
      <c r="A60" s="308" t="s">
        <v>56</v>
      </c>
      <c r="B60" s="305"/>
      <c r="C60" s="307">
        <v>26550</v>
      </c>
      <c r="D60" s="307">
        <v>27640</v>
      </c>
      <c r="E60" s="307">
        <v>28150</v>
      </c>
      <c r="F60" s="307">
        <v>28180</v>
      </c>
      <c r="G60" s="307">
        <v>29530</v>
      </c>
      <c r="H60" s="307">
        <v>29840</v>
      </c>
      <c r="I60" s="307">
        <v>30710</v>
      </c>
      <c r="J60" s="307">
        <v>31130</v>
      </c>
      <c r="K60" s="307">
        <v>30850</v>
      </c>
      <c r="L60" s="307">
        <v>30440</v>
      </c>
      <c r="M60" s="307">
        <v>29270</v>
      </c>
      <c r="N60" s="307">
        <v>28860</v>
      </c>
      <c r="O60" s="307">
        <v>28380</v>
      </c>
      <c r="P60" s="307">
        <v>28480</v>
      </c>
      <c r="Q60" s="307">
        <v>28850</v>
      </c>
      <c r="R60" s="307">
        <v>28440</v>
      </c>
      <c r="S60" s="307">
        <v>28900</v>
      </c>
      <c r="T60" s="307">
        <v>28470</v>
      </c>
      <c r="U60" s="307">
        <v>27160</v>
      </c>
      <c r="V60" s="307">
        <v>25980</v>
      </c>
      <c r="W60" s="307">
        <v>25160</v>
      </c>
      <c r="X60" s="307">
        <v>24440</v>
      </c>
      <c r="Y60" s="307">
        <v>24390</v>
      </c>
      <c r="Z60" s="307">
        <v>24110</v>
      </c>
      <c r="AA60" s="307">
        <v>24910</v>
      </c>
      <c r="AB60" s="307">
        <v>25750</v>
      </c>
      <c r="AC60" s="307">
        <v>26660</v>
      </c>
      <c r="AD60" s="307">
        <v>27660</v>
      </c>
      <c r="AE60" s="307">
        <v>28900</v>
      </c>
      <c r="AF60" s="307">
        <v>29310</v>
      </c>
      <c r="AG60" s="307">
        <v>29880</v>
      </c>
      <c r="AH60" s="307">
        <v>30740</v>
      </c>
      <c r="AI60" s="307">
        <v>31700</v>
      </c>
      <c r="AJ60" s="307">
        <v>33340</v>
      </c>
      <c r="AK60" s="307">
        <v>34590</v>
      </c>
      <c r="AL60" s="307">
        <v>35990</v>
      </c>
      <c r="AM60" s="307">
        <v>37420</v>
      </c>
      <c r="AN60" s="307">
        <v>36790</v>
      </c>
      <c r="AO60" s="307">
        <v>36710</v>
      </c>
      <c r="AP60" s="307">
        <v>36320</v>
      </c>
      <c r="AQ60" s="307">
        <v>36400</v>
      </c>
      <c r="AR60" s="307">
        <v>35980</v>
      </c>
      <c r="AS60" s="307">
        <v>34780</v>
      </c>
      <c r="AT60" s="307">
        <v>34860</v>
      </c>
      <c r="AU60" s="307">
        <v>34470</v>
      </c>
      <c r="AV60" s="307">
        <v>35180</v>
      </c>
      <c r="AW60" s="307">
        <v>34600</v>
      </c>
      <c r="AX60" s="307">
        <v>33280</v>
      </c>
      <c r="AY60" s="307">
        <v>33700</v>
      </c>
      <c r="AZ60" s="307">
        <v>34370</v>
      </c>
      <c r="BA60" s="307">
        <v>34180</v>
      </c>
      <c r="BB60" s="307">
        <v>34700</v>
      </c>
      <c r="BC60" s="307">
        <v>36000</v>
      </c>
      <c r="BD60" s="307">
        <v>37170</v>
      </c>
      <c r="BE60" s="307">
        <v>36890</v>
      </c>
      <c r="BF60" s="307">
        <v>36750</v>
      </c>
    </row>
    <row r="61" spans="1:58" x14ac:dyDescent="0.2">
      <c r="A61" s="308" t="s">
        <v>57</v>
      </c>
      <c r="B61" s="305"/>
      <c r="C61" s="307">
        <v>25810</v>
      </c>
      <c r="D61" s="307">
        <v>26420</v>
      </c>
      <c r="E61" s="307">
        <v>27430</v>
      </c>
      <c r="F61" s="307">
        <v>27960</v>
      </c>
      <c r="G61" s="307">
        <v>28050</v>
      </c>
      <c r="H61" s="307">
        <v>29330</v>
      </c>
      <c r="I61" s="307">
        <v>29620</v>
      </c>
      <c r="J61" s="307">
        <v>30500</v>
      </c>
      <c r="K61" s="307">
        <v>30940</v>
      </c>
      <c r="L61" s="307">
        <v>30690</v>
      </c>
      <c r="M61" s="307">
        <v>30280</v>
      </c>
      <c r="N61" s="307">
        <v>29120</v>
      </c>
      <c r="O61" s="307">
        <v>28700</v>
      </c>
      <c r="P61" s="307">
        <v>28230</v>
      </c>
      <c r="Q61" s="307">
        <v>28340</v>
      </c>
      <c r="R61" s="307">
        <v>28700</v>
      </c>
      <c r="S61" s="307">
        <v>28290</v>
      </c>
      <c r="T61" s="307">
        <v>28760</v>
      </c>
      <c r="U61" s="307">
        <v>28330</v>
      </c>
      <c r="V61" s="307">
        <v>27020</v>
      </c>
      <c r="W61" s="307">
        <v>25850</v>
      </c>
      <c r="X61" s="307">
        <v>25030</v>
      </c>
      <c r="Y61" s="307">
        <v>24310</v>
      </c>
      <c r="Z61" s="307">
        <v>24260</v>
      </c>
      <c r="AA61" s="307">
        <v>23980</v>
      </c>
      <c r="AB61" s="307">
        <v>24780</v>
      </c>
      <c r="AC61" s="307">
        <v>25620</v>
      </c>
      <c r="AD61" s="307">
        <v>26530</v>
      </c>
      <c r="AE61" s="307">
        <v>27530</v>
      </c>
      <c r="AF61" s="307">
        <v>28770</v>
      </c>
      <c r="AG61" s="307">
        <v>29180</v>
      </c>
      <c r="AH61" s="307">
        <v>29750</v>
      </c>
      <c r="AI61" s="307">
        <v>30610</v>
      </c>
      <c r="AJ61" s="307">
        <v>31580</v>
      </c>
      <c r="AK61" s="307">
        <v>33210</v>
      </c>
      <c r="AL61" s="307">
        <v>34470</v>
      </c>
      <c r="AM61" s="307">
        <v>35860</v>
      </c>
      <c r="AN61" s="307">
        <v>37290</v>
      </c>
      <c r="AO61" s="307">
        <v>36660</v>
      </c>
      <c r="AP61" s="307">
        <v>36580</v>
      </c>
      <c r="AQ61" s="307">
        <v>36190</v>
      </c>
      <c r="AR61" s="307">
        <v>36270</v>
      </c>
      <c r="AS61" s="307">
        <v>35860</v>
      </c>
      <c r="AT61" s="307">
        <v>34660</v>
      </c>
      <c r="AU61" s="307">
        <v>34740</v>
      </c>
      <c r="AV61" s="307">
        <v>34350</v>
      </c>
      <c r="AW61" s="307">
        <v>35060</v>
      </c>
      <c r="AX61" s="307">
        <v>34480</v>
      </c>
      <c r="AY61" s="307">
        <v>33160</v>
      </c>
      <c r="AZ61" s="307">
        <v>33590</v>
      </c>
      <c r="BA61" s="307">
        <v>34260</v>
      </c>
      <c r="BB61" s="307">
        <v>34070</v>
      </c>
      <c r="BC61" s="307">
        <v>34590</v>
      </c>
      <c r="BD61" s="307">
        <v>35890</v>
      </c>
      <c r="BE61" s="307">
        <v>37060</v>
      </c>
      <c r="BF61" s="307">
        <v>36780</v>
      </c>
    </row>
    <row r="62" spans="1:58" x14ac:dyDescent="0.2">
      <c r="A62" s="308" t="s">
        <v>58</v>
      </c>
      <c r="B62" s="305"/>
      <c r="C62" s="307">
        <v>25070</v>
      </c>
      <c r="D62" s="307">
        <v>25640</v>
      </c>
      <c r="E62" s="307">
        <v>26210</v>
      </c>
      <c r="F62" s="307">
        <v>27300</v>
      </c>
      <c r="G62" s="307">
        <v>27840</v>
      </c>
      <c r="H62" s="307">
        <v>27840</v>
      </c>
      <c r="I62" s="307">
        <v>29120</v>
      </c>
      <c r="J62" s="307">
        <v>29420</v>
      </c>
      <c r="K62" s="307">
        <v>30320</v>
      </c>
      <c r="L62" s="307">
        <v>30780</v>
      </c>
      <c r="M62" s="307">
        <v>30530</v>
      </c>
      <c r="N62" s="307">
        <v>30120</v>
      </c>
      <c r="O62" s="307">
        <v>28970</v>
      </c>
      <c r="P62" s="307">
        <v>28560</v>
      </c>
      <c r="Q62" s="307">
        <v>28090</v>
      </c>
      <c r="R62" s="307">
        <v>28190</v>
      </c>
      <c r="S62" s="307">
        <v>28560</v>
      </c>
      <c r="T62" s="307">
        <v>28150</v>
      </c>
      <c r="U62" s="307">
        <v>28620</v>
      </c>
      <c r="V62" s="307">
        <v>28200</v>
      </c>
      <c r="W62" s="307">
        <v>26890</v>
      </c>
      <c r="X62" s="307">
        <v>25720</v>
      </c>
      <c r="Y62" s="307">
        <v>24910</v>
      </c>
      <c r="Z62" s="307">
        <v>24190</v>
      </c>
      <c r="AA62" s="307">
        <v>24140</v>
      </c>
      <c r="AB62" s="307">
        <v>23870</v>
      </c>
      <c r="AC62" s="307">
        <v>24670</v>
      </c>
      <c r="AD62" s="307">
        <v>25500</v>
      </c>
      <c r="AE62" s="307">
        <v>26420</v>
      </c>
      <c r="AF62" s="307">
        <v>27410</v>
      </c>
      <c r="AG62" s="307">
        <v>28650</v>
      </c>
      <c r="AH62" s="307">
        <v>29060</v>
      </c>
      <c r="AI62" s="307">
        <v>29630</v>
      </c>
      <c r="AJ62" s="307">
        <v>30490</v>
      </c>
      <c r="AK62" s="307">
        <v>31460</v>
      </c>
      <c r="AL62" s="307">
        <v>33090</v>
      </c>
      <c r="AM62" s="307">
        <v>34340</v>
      </c>
      <c r="AN62" s="307">
        <v>35740</v>
      </c>
      <c r="AO62" s="307">
        <v>37170</v>
      </c>
      <c r="AP62" s="307">
        <v>36540</v>
      </c>
      <c r="AQ62" s="307">
        <v>36460</v>
      </c>
      <c r="AR62" s="307">
        <v>36070</v>
      </c>
      <c r="AS62" s="307">
        <v>36160</v>
      </c>
      <c r="AT62" s="307">
        <v>35740</v>
      </c>
      <c r="AU62" s="307">
        <v>34550</v>
      </c>
      <c r="AV62" s="307">
        <v>34630</v>
      </c>
      <c r="AW62" s="307">
        <v>34240</v>
      </c>
      <c r="AX62" s="307">
        <v>34960</v>
      </c>
      <c r="AY62" s="307">
        <v>34370</v>
      </c>
      <c r="AZ62" s="307">
        <v>33060</v>
      </c>
      <c r="BA62" s="307">
        <v>33480</v>
      </c>
      <c r="BB62" s="307">
        <v>34150</v>
      </c>
      <c r="BC62" s="307">
        <v>33960</v>
      </c>
      <c r="BD62" s="307">
        <v>34490</v>
      </c>
      <c r="BE62" s="307">
        <v>35790</v>
      </c>
      <c r="BF62" s="307">
        <v>36950</v>
      </c>
    </row>
    <row r="63" spans="1:58" x14ac:dyDescent="0.2">
      <c r="A63" s="308" t="s">
        <v>59</v>
      </c>
      <c r="B63" s="305"/>
      <c r="C63" s="307">
        <v>24750</v>
      </c>
      <c r="D63" s="307">
        <v>24900</v>
      </c>
      <c r="E63" s="307">
        <v>25520</v>
      </c>
      <c r="F63" s="307">
        <v>26090</v>
      </c>
      <c r="G63" s="307">
        <v>27170</v>
      </c>
      <c r="H63" s="307">
        <v>27620</v>
      </c>
      <c r="I63" s="307">
        <v>27640</v>
      </c>
      <c r="J63" s="307">
        <v>28930</v>
      </c>
      <c r="K63" s="307">
        <v>29250</v>
      </c>
      <c r="L63" s="307">
        <v>30160</v>
      </c>
      <c r="M63" s="307">
        <v>30630</v>
      </c>
      <c r="N63" s="307">
        <v>30380</v>
      </c>
      <c r="O63" s="307">
        <v>29980</v>
      </c>
      <c r="P63" s="307">
        <v>28830</v>
      </c>
      <c r="Q63" s="307">
        <v>28420</v>
      </c>
      <c r="R63" s="307">
        <v>27950</v>
      </c>
      <c r="S63" s="307">
        <v>28060</v>
      </c>
      <c r="T63" s="307">
        <v>28430</v>
      </c>
      <c r="U63" s="307">
        <v>28030</v>
      </c>
      <c r="V63" s="307">
        <v>28490</v>
      </c>
      <c r="W63" s="307">
        <v>28070</v>
      </c>
      <c r="X63" s="307">
        <v>26770</v>
      </c>
      <c r="Y63" s="307">
        <v>25610</v>
      </c>
      <c r="Z63" s="307">
        <v>24800</v>
      </c>
      <c r="AA63" s="307">
        <v>24080</v>
      </c>
      <c r="AB63" s="307">
        <v>24030</v>
      </c>
      <c r="AC63" s="307">
        <v>23760</v>
      </c>
      <c r="AD63" s="307">
        <v>24560</v>
      </c>
      <c r="AE63" s="307">
        <v>25400</v>
      </c>
      <c r="AF63" s="307">
        <v>26310</v>
      </c>
      <c r="AG63" s="307">
        <v>27310</v>
      </c>
      <c r="AH63" s="307">
        <v>28540</v>
      </c>
      <c r="AI63" s="307">
        <v>28950</v>
      </c>
      <c r="AJ63" s="307">
        <v>29530</v>
      </c>
      <c r="AK63" s="307">
        <v>30380</v>
      </c>
      <c r="AL63" s="307">
        <v>31350</v>
      </c>
      <c r="AM63" s="307">
        <v>32980</v>
      </c>
      <c r="AN63" s="307">
        <v>34230</v>
      </c>
      <c r="AO63" s="307">
        <v>35630</v>
      </c>
      <c r="AP63" s="307">
        <v>37060</v>
      </c>
      <c r="AQ63" s="307">
        <v>36440</v>
      </c>
      <c r="AR63" s="307">
        <v>36350</v>
      </c>
      <c r="AS63" s="307">
        <v>35970</v>
      </c>
      <c r="AT63" s="307">
        <v>36050</v>
      </c>
      <c r="AU63" s="307">
        <v>35640</v>
      </c>
      <c r="AV63" s="307">
        <v>34450</v>
      </c>
      <c r="AW63" s="307">
        <v>34540</v>
      </c>
      <c r="AX63" s="307">
        <v>34140</v>
      </c>
      <c r="AY63" s="307">
        <v>34860</v>
      </c>
      <c r="AZ63" s="307">
        <v>34280</v>
      </c>
      <c r="BA63" s="307">
        <v>32970</v>
      </c>
      <c r="BB63" s="307">
        <v>33390</v>
      </c>
      <c r="BC63" s="307">
        <v>34060</v>
      </c>
      <c r="BD63" s="307">
        <v>33870</v>
      </c>
      <c r="BE63" s="307">
        <v>34400</v>
      </c>
      <c r="BF63" s="307">
        <v>35700</v>
      </c>
    </row>
    <row r="64" spans="1:58" x14ac:dyDescent="0.2">
      <c r="A64" s="308" t="s">
        <v>60</v>
      </c>
      <c r="B64" s="305"/>
      <c r="C64" s="307">
        <v>24160</v>
      </c>
      <c r="D64" s="307">
        <v>24600</v>
      </c>
      <c r="E64" s="307">
        <v>24710</v>
      </c>
      <c r="F64" s="307">
        <v>25410</v>
      </c>
      <c r="G64" s="307">
        <v>25950</v>
      </c>
      <c r="H64" s="307">
        <v>26970</v>
      </c>
      <c r="I64" s="307">
        <v>27430</v>
      </c>
      <c r="J64" s="307">
        <v>27460</v>
      </c>
      <c r="K64" s="307">
        <v>28770</v>
      </c>
      <c r="L64" s="307">
        <v>29100</v>
      </c>
      <c r="M64" s="307">
        <v>30020</v>
      </c>
      <c r="N64" s="307">
        <v>30480</v>
      </c>
      <c r="O64" s="307">
        <v>30240</v>
      </c>
      <c r="P64" s="307">
        <v>29840</v>
      </c>
      <c r="Q64" s="307">
        <v>28700</v>
      </c>
      <c r="R64" s="307">
        <v>28290</v>
      </c>
      <c r="S64" s="307">
        <v>27830</v>
      </c>
      <c r="T64" s="307">
        <v>27940</v>
      </c>
      <c r="U64" s="307">
        <v>28310</v>
      </c>
      <c r="V64" s="307">
        <v>27910</v>
      </c>
      <c r="W64" s="307">
        <v>28370</v>
      </c>
      <c r="X64" s="307">
        <v>27960</v>
      </c>
      <c r="Y64" s="307">
        <v>26660</v>
      </c>
      <c r="Z64" s="307">
        <v>25510</v>
      </c>
      <c r="AA64" s="307">
        <v>24700</v>
      </c>
      <c r="AB64" s="307">
        <v>23990</v>
      </c>
      <c r="AC64" s="307">
        <v>23940</v>
      </c>
      <c r="AD64" s="307">
        <v>23670</v>
      </c>
      <c r="AE64" s="307">
        <v>24470</v>
      </c>
      <c r="AF64" s="307">
        <v>25300</v>
      </c>
      <c r="AG64" s="307">
        <v>26220</v>
      </c>
      <c r="AH64" s="307">
        <v>27210</v>
      </c>
      <c r="AI64" s="307">
        <v>28450</v>
      </c>
      <c r="AJ64" s="307">
        <v>28860</v>
      </c>
      <c r="AK64" s="307">
        <v>29430</v>
      </c>
      <c r="AL64" s="307">
        <v>30290</v>
      </c>
      <c r="AM64" s="307">
        <v>31250</v>
      </c>
      <c r="AN64" s="307">
        <v>32890</v>
      </c>
      <c r="AO64" s="307">
        <v>34140</v>
      </c>
      <c r="AP64" s="307">
        <v>35530</v>
      </c>
      <c r="AQ64" s="307">
        <v>36960</v>
      </c>
      <c r="AR64" s="307">
        <v>36340</v>
      </c>
      <c r="AS64" s="307">
        <v>36260</v>
      </c>
      <c r="AT64" s="307">
        <v>35880</v>
      </c>
      <c r="AU64" s="307">
        <v>35960</v>
      </c>
      <c r="AV64" s="307">
        <v>35550</v>
      </c>
      <c r="AW64" s="307">
        <v>34360</v>
      </c>
      <c r="AX64" s="307">
        <v>34450</v>
      </c>
      <c r="AY64" s="307">
        <v>34060</v>
      </c>
      <c r="AZ64" s="307">
        <v>34780</v>
      </c>
      <c r="BA64" s="307">
        <v>34200</v>
      </c>
      <c r="BB64" s="307">
        <v>32890</v>
      </c>
      <c r="BC64" s="307">
        <v>33310</v>
      </c>
      <c r="BD64" s="307">
        <v>33990</v>
      </c>
      <c r="BE64" s="307">
        <v>33800</v>
      </c>
      <c r="BF64" s="307">
        <v>34320</v>
      </c>
    </row>
    <row r="65" spans="1:58" x14ac:dyDescent="0.2">
      <c r="A65" s="308" t="s">
        <v>61</v>
      </c>
      <c r="B65" s="305"/>
      <c r="C65" s="307">
        <v>24180</v>
      </c>
      <c r="D65" s="307">
        <v>24030</v>
      </c>
      <c r="E65" s="307">
        <v>24420</v>
      </c>
      <c r="F65" s="307">
        <v>24560</v>
      </c>
      <c r="G65" s="307">
        <v>25270</v>
      </c>
      <c r="H65" s="307">
        <v>25770</v>
      </c>
      <c r="I65" s="307">
        <v>26790</v>
      </c>
      <c r="J65" s="307">
        <v>27270</v>
      </c>
      <c r="K65" s="307">
        <v>27320</v>
      </c>
      <c r="L65" s="307">
        <v>28640</v>
      </c>
      <c r="M65" s="307">
        <v>28970</v>
      </c>
      <c r="N65" s="307">
        <v>29890</v>
      </c>
      <c r="O65" s="307">
        <v>30350</v>
      </c>
      <c r="P65" s="307">
        <v>30110</v>
      </c>
      <c r="Q65" s="307">
        <v>29720</v>
      </c>
      <c r="R65" s="307">
        <v>28580</v>
      </c>
      <c r="S65" s="307">
        <v>28180</v>
      </c>
      <c r="T65" s="307">
        <v>27720</v>
      </c>
      <c r="U65" s="307">
        <v>27830</v>
      </c>
      <c r="V65" s="307">
        <v>28200</v>
      </c>
      <c r="W65" s="307">
        <v>27810</v>
      </c>
      <c r="X65" s="307">
        <v>28270</v>
      </c>
      <c r="Y65" s="307">
        <v>27860</v>
      </c>
      <c r="Z65" s="307">
        <v>26570</v>
      </c>
      <c r="AA65" s="307">
        <v>25420</v>
      </c>
      <c r="AB65" s="307">
        <v>24620</v>
      </c>
      <c r="AC65" s="307">
        <v>23910</v>
      </c>
      <c r="AD65" s="307">
        <v>23860</v>
      </c>
      <c r="AE65" s="307">
        <v>23590</v>
      </c>
      <c r="AF65" s="307">
        <v>24390</v>
      </c>
      <c r="AG65" s="307">
        <v>25230</v>
      </c>
      <c r="AH65" s="307">
        <v>26140</v>
      </c>
      <c r="AI65" s="307">
        <v>27140</v>
      </c>
      <c r="AJ65" s="307">
        <v>28370</v>
      </c>
      <c r="AK65" s="307">
        <v>28780</v>
      </c>
      <c r="AL65" s="307">
        <v>29360</v>
      </c>
      <c r="AM65" s="307">
        <v>30210</v>
      </c>
      <c r="AN65" s="307">
        <v>31180</v>
      </c>
      <c r="AO65" s="307">
        <v>32810</v>
      </c>
      <c r="AP65" s="307">
        <v>34060</v>
      </c>
      <c r="AQ65" s="307">
        <v>35450</v>
      </c>
      <c r="AR65" s="307">
        <v>36880</v>
      </c>
      <c r="AS65" s="307">
        <v>36260</v>
      </c>
      <c r="AT65" s="307">
        <v>36190</v>
      </c>
      <c r="AU65" s="307">
        <v>35800</v>
      </c>
      <c r="AV65" s="307">
        <v>35890</v>
      </c>
      <c r="AW65" s="307">
        <v>35480</v>
      </c>
      <c r="AX65" s="307">
        <v>34300</v>
      </c>
      <c r="AY65" s="307">
        <v>34390</v>
      </c>
      <c r="AZ65" s="307">
        <v>34000</v>
      </c>
      <c r="BA65" s="307">
        <v>34710</v>
      </c>
      <c r="BB65" s="307">
        <v>34140</v>
      </c>
      <c r="BC65" s="307">
        <v>32830</v>
      </c>
      <c r="BD65" s="307">
        <v>33250</v>
      </c>
      <c r="BE65" s="307">
        <v>33930</v>
      </c>
      <c r="BF65" s="307">
        <v>33740</v>
      </c>
    </row>
    <row r="66" spans="1:58" x14ac:dyDescent="0.2">
      <c r="A66" s="308" t="s">
        <v>62</v>
      </c>
      <c r="B66" s="305"/>
      <c r="C66" s="307">
        <v>23830</v>
      </c>
      <c r="D66" s="307">
        <v>24010</v>
      </c>
      <c r="E66" s="307">
        <v>23870</v>
      </c>
      <c r="F66" s="307">
        <v>24270</v>
      </c>
      <c r="G66" s="307">
        <v>24450</v>
      </c>
      <c r="H66" s="307">
        <v>25120</v>
      </c>
      <c r="I66" s="307">
        <v>25610</v>
      </c>
      <c r="J66" s="307">
        <v>26640</v>
      </c>
      <c r="K66" s="307">
        <v>27140</v>
      </c>
      <c r="L66" s="307">
        <v>27200</v>
      </c>
      <c r="M66" s="307">
        <v>28520</v>
      </c>
      <c r="N66" s="307">
        <v>28850</v>
      </c>
      <c r="O66" s="307">
        <v>29770</v>
      </c>
      <c r="P66" s="307">
        <v>30230</v>
      </c>
      <c r="Q66" s="307">
        <v>30000</v>
      </c>
      <c r="R66" s="307">
        <v>29610</v>
      </c>
      <c r="S66" s="307">
        <v>28480</v>
      </c>
      <c r="T66" s="307">
        <v>28080</v>
      </c>
      <c r="U66" s="307">
        <v>27630</v>
      </c>
      <c r="V66" s="307">
        <v>27740</v>
      </c>
      <c r="W66" s="307">
        <v>28110</v>
      </c>
      <c r="X66" s="307">
        <v>27720</v>
      </c>
      <c r="Y66" s="307">
        <v>28190</v>
      </c>
      <c r="Z66" s="307">
        <v>27780</v>
      </c>
      <c r="AA66" s="307">
        <v>26490</v>
      </c>
      <c r="AB66" s="307">
        <v>25350</v>
      </c>
      <c r="AC66" s="307">
        <v>24550</v>
      </c>
      <c r="AD66" s="307">
        <v>23840</v>
      </c>
      <c r="AE66" s="307">
        <v>23800</v>
      </c>
      <c r="AF66" s="307">
        <v>23530</v>
      </c>
      <c r="AG66" s="307">
        <v>24330</v>
      </c>
      <c r="AH66" s="307">
        <v>25170</v>
      </c>
      <c r="AI66" s="307">
        <v>26080</v>
      </c>
      <c r="AJ66" s="307">
        <v>27070</v>
      </c>
      <c r="AK66" s="307">
        <v>28310</v>
      </c>
      <c r="AL66" s="307">
        <v>28720</v>
      </c>
      <c r="AM66" s="307">
        <v>29300</v>
      </c>
      <c r="AN66" s="307">
        <v>30150</v>
      </c>
      <c r="AO66" s="307">
        <v>31120</v>
      </c>
      <c r="AP66" s="307">
        <v>32750</v>
      </c>
      <c r="AQ66" s="307">
        <v>34000</v>
      </c>
      <c r="AR66" s="307">
        <v>35390</v>
      </c>
      <c r="AS66" s="307">
        <v>36820</v>
      </c>
      <c r="AT66" s="307">
        <v>36200</v>
      </c>
      <c r="AU66" s="307">
        <v>36120</v>
      </c>
      <c r="AV66" s="307">
        <v>35740</v>
      </c>
      <c r="AW66" s="307">
        <v>35830</v>
      </c>
      <c r="AX66" s="307">
        <v>35430</v>
      </c>
      <c r="AY66" s="307">
        <v>34240</v>
      </c>
      <c r="AZ66" s="307">
        <v>34330</v>
      </c>
      <c r="BA66" s="307">
        <v>33950</v>
      </c>
      <c r="BB66" s="307">
        <v>34660</v>
      </c>
      <c r="BC66" s="307">
        <v>34090</v>
      </c>
      <c r="BD66" s="307">
        <v>32790</v>
      </c>
      <c r="BE66" s="307">
        <v>33210</v>
      </c>
      <c r="BF66" s="307">
        <v>33890</v>
      </c>
    </row>
    <row r="67" spans="1:58" x14ac:dyDescent="0.2">
      <c r="A67" s="308" t="s">
        <v>63</v>
      </c>
      <c r="B67" s="305"/>
      <c r="C67" s="307">
        <v>23890</v>
      </c>
      <c r="D67" s="307">
        <v>23670</v>
      </c>
      <c r="E67" s="307">
        <v>23870</v>
      </c>
      <c r="F67" s="307">
        <v>23710</v>
      </c>
      <c r="G67" s="307">
        <v>24170</v>
      </c>
      <c r="H67" s="307">
        <v>24290</v>
      </c>
      <c r="I67" s="307">
        <v>24960</v>
      </c>
      <c r="J67" s="307">
        <v>25460</v>
      </c>
      <c r="K67" s="307">
        <v>26510</v>
      </c>
      <c r="L67" s="307">
        <v>27020</v>
      </c>
      <c r="M67" s="307">
        <v>27090</v>
      </c>
      <c r="N67" s="307">
        <v>28400</v>
      </c>
      <c r="O67" s="307">
        <v>28740</v>
      </c>
      <c r="P67" s="307">
        <v>29650</v>
      </c>
      <c r="Q67" s="307">
        <v>30120</v>
      </c>
      <c r="R67" s="307">
        <v>29890</v>
      </c>
      <c r="S67" s="307">
        <v>29500</v>
      </c>
      <c r="T67" s="307">
        <v>28380</v>
      </c>
      <c r="U67" s="307">
        <v>27990</v>
      </c>
      <c r="V67" s="307">
        <v>27540</v>
      </c>
      <c r="W67" s="307">
        <v>27650</v>
      </c>
      <c r="X67" s="307">
        <v>28030</v>
      </c>
      <c r="Y67" s="307">
        <v>27640</v>
      </c>
      <c r="Z67" s="307">
        <v>28110</v>
      </c>
      <c r="AA67" s="307">
        <v>27700</v>
      </c>
      <c r="AB67" s="307">
        <v>26420</v>
      </c>
      <c r="AC67" s="307">
        <v>25280</v>
      </c>
      <c r="AD67" s="307">
        <v>24490</v>
      </c>
      <c r="AE67" s="307">
        <v>23790</v>
      </c>
      <c r="AF67" s="307">
        <v>23740</v>
      </c>
      <c r="AG67" s="307">
        <v>23480</v>
      </c>
      <c r="AH67" s="307">
        <v>24280</v>
      </c>
      <c r="AI67" s="307">
        <v>25120</v>
      </c>
      <c r="AJ67" s="307">
        <v>26020</v>
      </c>
      <c r="AK67" s="307">
        <v>27020</v>
      </c>
      <c r="AL67" s="307">
        <v>28250</v>
      </c>
      <c r="AM67" s="307">
        <v>28670</v>
      </c>
      <c r="AN67" s="307">
        <v>29240</v>
      </c>
      <c r="AO67" s="307">
        <v>30100</v>
      </c>
      <c r="AP67" s="307">
        <v>31060</v>
      </c>
      <c r="AQ67" s="307">
        <v>32690</v>
      </c>
      <c r="AR67" s="307">
        <v>33940</v>
      </c>
      <c r="AS67" s="307">
        <v>35330</v>
      </c>
      <c r="AT67" s="307">
        <v>36760</v>
      </c>
      <c r="AU67" s="307">
        <v>36150</v>
      </c>
      <c r="AV67" s="307">
        <v>36070</v>
      </c>
      <c r="AW67" s="307">
        <v>35690</v>
      </c>
      <c r="AX67" s="307">
        <v>35790</v>
      </c>
      <c r="AY67" s="307">
        <v>35380</v>
      </c>
      <c r="AZ67" s="307">
        <v>34200</v>
      </c>
      <c r="BA67" s="307">
        <v>34290</v>
      </c>
      <c r="BB67" s="307">
        <v>33910</v>
      </c>
      <c r="BC67" s="307">
        <v>34630</v>
      </c>
      <c r="BD67" s="307">
        <v>34050</v>
      </c>
      <c r="BE67" s="307">
        <v>32750</v>
      </c>
      <c r="BF67" s="307">
        <v>33180</v>
      </c>
    </row>
    <row r="68" spans="1:58" x14ac:dyDescent="0.2">
      <c r="A68" s="308" t="s">
        <v>64</v>
      </c>
      <c r="B68" s="305"/>
      <c r="C68" s="307">
        <v>24020</v>
      </c>
      <c r="D68" s="307">
        <v>23760</v>
      </c>
      <c r="E68" s="307">
        <v>23520</v>
      </c>
      <c r="F68" s="307">
        <v>23690</v>
      </c>
      <c r="G68" s="307">
        <v>23590</v>
      </c>
      <c r="H68" s="307">
        <v>24000</v>
      </c>
      <c r="I68" s="307">
        <v>24150</v>
      </c>
      <c r="J68" s="307">
        <v>24820</v>
      </c>
      <c r="K68" s="307">
        <v>25340</v>
      </c>
      <c r="L68" s="307">
        <v>26400</v>
      </c>
      <c r="M68" s="307">
        <v>26910</v>
      </c>
      <c r="N68" s="307">
        <v>26980</v>
      </c>
      <c r="O68" s="307">
        <v>28290</v>
      </c>
      <c r="P68" s="307">
        <v>28630</v>
      </c>
      <c r="Q68" s="307">
        <v>29540</v>
      </c>
      <c r="R68" s="307">
        <v>30010</v>
      </c>
      <c r="S68" s="307">
        <v>29790</v>
      </c>
      <c r="T68" s="307">
        <v>29410</v>
      </c>
      <c r="U68" s="307">
        <v>28290</v>
      </c>
      <c r="V68" s="307">
        <v>27900</v>
      </c>
      <c r="W68" s="307">
        <v>27460</v>
      </c>
      <c r="X68" s="307">
        <v>27580</v>
      </c>
      <c r="Y68" s="307">
        <v>27950</v>
      </c>
      <c r="Z68" s="307">
        <v>27570</v>
      </c>
      <c r="AA68" s="307">
        <v>28040</v>
      </c>
      <c r="AB68" s="307">
        <v>27630</v>
      </c>
      <c r="AC68" s="307">
        <v>26360</v>
      </c>
      <c r="AD68" s="307">
        <v>25230</v>
      </c>
      <c r="AE68" s="307">
        <v>24440</v>
      </c>
      <c r="AF68" s="307">
        <v>23740</v>
      </c>
      <c r="AG68" s="307">
        <v>23700</v>
      </c>
      <c r="AH68" s="307">
        <v>23440</v>
      </c>
      <c r="AI68" s="307">
        <v>24240</v>
      </c>
      <c r="AJ68" s="307">
        <v>25070</v>
      </c>
      <c r="AK68" s="307">
        <v>25980</v>
      </c>
      <c r="AL68" s="307">
        <v>26980</v>
      </c>
      <c r="AM68" s="307">
        <v>28210</v>
      </c>
      <c r="AN68" s="307">
        <v>28630</v>
      </c>
      <c r="AO68" s="307">
        <v>29200</v>
      </c>
      <c r="AP68" s="307">
        <v>30060</v>
      </c>
      <c r="AQ68" s="307">
        <v>31020</v>
      </c>
      <c r="AR68" s="307">
        <v>32650</v>
      </c>
      <c r="AS68" s="307">
        <v>33900</v>
      </c>
      <c r="AT68" s="307">
        <v>35290</v>
      </c>
      <c r="AU68" s="307">
        <v>36710</v>
      </c>
      <c r="AV68" s="307">
        <v>36100</v>
      </c>
      <c r="AW68" s="307">
        <v>36030</v>
      </c>
      <c r="AX68" s="307">
        <v>35660</v>
      </c>
      <c r="AY68" s="307">
        <v>35750</v>
      </c>
      <c r="AZ68" s="307">
        <v>35350</v>
      </c>
      <c r="BA68" s="307">
        <v>34170</v>
      </c>
      <c r="BB68" s="307">
        <v>34260</v>
      </c>
      <c r="BC68" s="307">
        <v>33880</v>
      </c>
      <c r="BD68" s="307">
        <v>34600</v>
      </c>
      <c r="BE68" s="307">
        <v>34030</v>
      </c>
      <c r="BF68" s="307">
        <v>32730</v>
      </c>
    </row>
    <row r="69" spans="1:58" x14ac:dyDescent="0.2">
      <c r="A69" s="308" t="s">
        <v>65</v>
      </c>
      <c r="B69" s="305"/>
      <c r="C69" s="307">
        <v>20160</v>
      </c>
      <c r="D69" s="307">
        <v>23850</v>
      </c>
      <c r="E69" s="307">
        <v>23590</v>
      </c>
      <c r="F69" s="307">
        <v>23390</v>
      </c>
      <c r="G69" s="307">
        <v>23590</v>
      </c>
      <c r="H69" s="307">
        <v>23440</v>
      </c>
      <c r="I69" s="307">
        <v>23860</v>
      </c>
      <c r="J69" s="307">
        <v>24020</v>
      </c>
      <c r="K69" s="307">
        <v>24710</v>
      </c>
      <c r="L69" s="307">
        <v>25240</v>
      </c>
      <c r="M69" s="307">
        <v>26300</v>
      </c>
      <c r="N69" s="307">
        <v>26810</v>
      </c>
      <c r="O69" s="307">
        <v>26880</v>
      </c>
      <c r="P69" s="307">
        <v>28190</v>
      </c>
      <c r="Q69" s="307">
        <v>28530</v>
      </c>
      <c r="R69" s="307">
        <v>29440</v>
      </c>
      <c r="S69" s="307">
        <v>29910</v>
      </c>
      <c r="T69" s="307">
        <v>29690</v>
      </c>
      <c r="U69" s="307">
        <v>29320</v>
      </c>
      <c r="V69" s="307">
        <v>28210</v>
      </c>
      <c r="W69" s="307">
        <v>27830</v>
      </c>
      <c r="X69" s="307">
        <v>27390</v>
      </c>
      <c r="Y69" s="307">
        <v>27510</v>
      </c>
      <c r="Z69" s="307">
        <v>27880</v>
      </c>
      <c r="AA69" s="307">
        <v>27510</v>
      </c>
      <c r="AB69" s="307">
        <v>27970</v>
      </c>
      <c r="AC69" s="307">
        <v>27580</v>
      </c>
      <c r="AD69" s="307">
        <v>26320</v>
      </c>
      <c r="AE69" s="307">
        <v>25190</v>
      </c>
      <c r="AF69" s="307">
        <v>24400</v>
      </c>
      <c r="AG69" s="307">
        <v>23710</v>
      </c>
      <c r="AH69" s="307">
        <v>23670</v>
      </c>
      <c r="AI69" s="307">
        <v>23410</v>
      </c>
      <c r="AJ69" s="307">
        <v>24210</v>
      </c>
      <c r="AK69" s="307">
        <v>25050</v>
      </c>
      <c r="AL69" s="307">
        <v>25950</v>
      </c>
      <c r="AM69" s="307">
        <v>26950</v>
      </c>
      <c r="AN69" s="307">
        <v>28180</v>
      </c>
      <c r="AO69" s="307">
        <v>28600</v>
      </c>
      <c r="AP69" s="307">
        <v>29170</v>
      </c>
      <c r="AQ69" s="307">
        <v>30030</v>
      </c>
      <c r="AR69" s="307">
        <v>30990</v>
      </c>
      <c r="AS69" s="307">
        <v>32620</v>
      </c>
      <c r="AT69" s="307">
        <v>33860</v>
      </c>
      <c r="AU69" s="307">
        <v>35250</v>
      </c>
      <c r="AV69" s="307">
        <v>36680</v>
      </c>
      <c r="AW69" s="307">
        <v>36070</v>
      </c>
      <c r="AX69" s="307">
        <v>36000</v>
      </c>
      <c r="AY69" s="307">
        <v>35630</v>
      </c>
      <c r="AZ69" s="307">
        <v>35730</v>
      </c>
      <c r="BA69" s="307">
        <v>35320</v>
      </c>
      <c r="BB69" s="307">
        <v>34150</v>
      </c>
      <c r="BC69" s="307">
        <v>34250</v>
      </c>
      <c r="BD69" s="307">
        <v>33870</v>
      </c>
      <c r="BE69" s="307">
        <v>34590</v>
      </c>
      <c r="BF69" s="307">
        <v>34020</v>
      </c>
    </row>
    <row r="70" spans="1:58" x14ac:dyDescent="0.2">
      <c r="A70" s="308" t="s">
        <v>66</v>
      </c>
      <c r="B70" s="305"/>
      <c r="C70" s="307">
        <v>19140</v>
      </c>
      <c r="D70" s="307">
        <v>20010</v>
      </c>
      <c r="E70" s="307">
        <v>23680</v>
      </c>
      <c r="F70" s="307">
        <v>23410</v>
      </c>
      <c r="G70" s="307">
        <v>23260</v>
      </c>
      <c r="H70" s="307">
        <v>23440</v>
      </c>
      <c r="I70" s="307">
        <v>23310</v>
      </c>
      <c r="J70" s="307">
        <v>23740</v>
      </c>
      <c r="K70" s="307">
        <v>23910</v>
      </c>
      <c r="L70" s="307">
        <v>24610</v>
      </c>
      <c r="M70" s="307">
        <v>25140</v>
      </c>
      <c r="N70" s="307">
        <v>26190</v>
      </c>
      <c r="O70" s="307">
        <v>26700</v>
      </c>
      <c r="P70" s="307">
        <v>26780</v>
      </c>
      <c r="Q70" s="307">
        <v>28080</v>
      </c>
      <c r="R70" s="307">
        <v>28430</v>
      </c>
      <c r="S70" s="307">
        <v>29340</v>
      </c>
      <c r="T70" s="307">
        <v>29820</v>
      </c>
      <c r="U70" s="307">
        <v>29600</v>
      </c>
      <c r="V70" s="307">
        <v>29230</v>
      </c>
      <c r="W70" s="307">
        <v>28130</v>
      </c>
      <c r="X70" s="307">
        <v>27760</v>
      </c>
      <c r="Y70" s="307">
        <v>27320</v>
      </c>
      <c r="Z70" s="307">
        <v>27440</v>
      </c>
      <c r="AA70" s="307">
        <v>27820</v>
      </c>
      <c r="AB70" s="307">
        <v>27450</v>
      </c>
      <c r="AC70" s="307">
        <v>27920</v>
      </c>
      <c r="AD70" s="307">
        <v>27530</v>
      </c>
      <c r="AE70" s="307">
        <v>26270</v>
      </c>
      <c r="AF70" s="307">
        <v>25150</v>
      </c>
      <c r="AG70" s="307">
        <v>24370</v>
      </c>
      <c r="AH70" s="307">
        <v>23680</v>
      </c>
      <c r="AI70" s="307">
        <v>23650</v>
      </c>
      <c r="AJ70" s="307">
        <v>23390</v>
      </c>
      <c r="AK70" s="307">
        <v>24190</v>
      </c>
      <c r="AL70" s="307">
        <v>25020</v>
      </c>
      <c r="AM70" s="307">
        <v>25930</v>
      </c>
      <c r="AN70" s="307">
        <v>26920</v>
      </c>
      <c r="AO70" s="307">
        <v>28150</v>
      </c>
      <c r="AP70" s="307">
        <v>28570</v>
      </c>
      <c r="AQ70" s="307">
        <v>29150</v>
      </c>
      <c r="AR70" s="307">
        <v>30000</v>
      </c>
      <c r="AS70" s="307">
        <v>30970</v>
      </c>
      <c r="AT70" s="307">
        <v>32590</v>
      </c>
      <c r="AU70" s="307">
        <v>33840</v>
      </c>
      <c r="AV70" s="307">
        <v>35230</v>
      </c>
      <c r="AW70" s="307">
        <v>36650</v>
      </c>
      <c r="AX70" s="307">
        <v>36050</v>
      </c>
      <c r="AY70" s="307">
        <v>35980</v>
      </c>
      <c r="AZ70" s="307">
        <v>35610</v>
      </c>
      <c r="BA70" s="307">
        <v>35710</v>
      </c>
      <c r="BB70" s="307">
        <v>35310</v>
      </c>
      <c r="BC70" s="307">
        <v>34140</v>
      </c>
      <c r="BD70" s="307">
        <v>34240</v>
      </c>
      <c r="BE70" s="307">
        <v>33860</v>
      </c>
      <c r="BF70" s="307">
        <v>34580</v>
      </c>
    </row>
    <row r="71" spans="1:58" x14ac:dyDescent="0.2">
      <c r="A71" s="308" t="s">
        <v>67</v>
      </c>
      <c r="B71" s="305"/>
      <c r="C71" s="307">
        <v>18400</v>
      </c>
      <c r="D71" s="307">
        <v>19010</v>
      </c>
      <c r="E71" s="307">
        <v>19860</v>
      </c>
      <c r="F71" s="307">
        <v>23520</v>
      </c>
      <c r="G71" s="307">
        <v>23250</v>
      </c>
      <c r="H71" s="307">
        <v>23120</v>
      </c>
      <c r="I71" s="307">
        <v>23300</v>
      </c>
      <c r="J71" s="307">
        <v>23180</v>
      </c>
      <c r="K71" s="307">
        <v>23620</v>
      </c>
      <c r="L71" s="307">
        <v>23810</v>
      </c>
      <c r="M71" s="307">
        <v>24510</v>
      </c>
      <c r="N71" s="307">
        <v>25040</v>
      </c>
      <c r="O71" s="307">
        <v>26090</v>
      </c>
      <c r="P71" s="307">
        <v>26600</v>
      </c>
      <c r="Q71" s="307">
        <v>26680</v>
      </c>
      <c r="R71" s="307">
        <v>27980</v>
      </c>
      <c r="S71" s="307">
        <v>28330</v>
      </c>
      <c r="T71" s="307">
        <v>29240</v>
      </c>
      <c r="U71" s="307">
        <v>29720</v>
      </c>
      <c r="V71" s="307">
        <v>29500</v>
      </c>
      <c r="W71" s="307">
        <v>29140</v>
      </c>
      <c r="X71" s="307">
        <v>28050</v>
      </c>
      <c r="Y71" s="307">
        <v>27680</v>
      </c>
      <c r="Z71" s="307">
        <v>27250</v>
      </c>
      <c r="AA71" s="307">
        <v>27380</v>
      </c>
      <c r="AB71" s="307">
        <v>27760</v>
      </c>
      <c r="AC71" s="307">
        <v>27390</v>
      </c>
      <c r="AD71" s="307">
        <v>27860</v>
      </c>
      <c r="AE71" s="307">
        <v>27480</v>
      </c>
      <c r="AF71" s="307">
        <v>26230</v>
      </c>
      <c r="AG71" s="307">
        <v>25110</v>
      </c>
      <c r="AH71" s="307">
        <v>24340</v>
      </c>
      <c r="AI71" s="307">
        <v>23660</v>
      </c>
      <c r="AJ71" s="307">
        <v>23630</v>
      </c>
      <c r="AK71" s="307">
        <v>23370</v>
      </c>
      <c r="AL71" s="307">
        <v>24170</v>
      </c>
      <c r="AM71" s="307">
        <v>25000</v>
      </c>
      <c r="AN71" s="307">
        <v>25910</v>
      </c>
      <c r="AO71" s="307">
        <v>26900</v>
      </c>
      <c r="AP71" s="307">
        <v>28130</v>
      </c>
      <c r="AQ71" s="307">
        <v>28550</v>
      </c>
      <c r="AR71" s="307">
        <v>29130</v>
      </c>
      <c r="AS71" s="307">
        <v>29980</v>
      </c>
      <c r="AT71" s="307">
        <v>30950</v>
      </c>
      <c r="AU71" s="307">
        <v>32570</v>
      </c>
      <c r="AV71" s="307">
        <v>33820</v>
      </c>
      <c r="AW71" s="307">
        <v>35200</v>
      </c>
      <c r="AX71" s="307">
        <v>36630</v>
      </c>
      <c r="AY71" s="307">
        <v>36030</v>
      </c>
      <c r="AZ71" s="307">
        <v>35960</v>
      </c>
      <c r="BA71" s="307">
        <v>35600</v>
      </c>
      <c r="BB71" s="307">
        <v>35700</v>
      </c>
      <c r="BC71" s="307">
        <v>35300</v>
      </c>
      <c r="BD71" s="307">
        <v>34140</v>
      </c>
      <c r="BE71" s="307">
        <v>34240</v>
      </c>
      <c r="BF71" s="307">
        <v>33860</v>
      </c>
    </row>
    <row r="72" spans="1:58" x14ac:dyDescent="0.2">
      <c r="A72" s="308" t="s">
        <v>68</v>
      </c>
      <c r="B72" s="305"/>
      <c r="C72" s="307">
        <v>16270</v>
      </c>
      <c r="D72" s="307">
        <v>18250</v>
      </c>
      <c r="E72" s="307">
        <v>18880</v>
      </c>
      <c r="F72" s="307">
        <v>19710</v>
      </c>
      <c r="G72" s="307">
        <v>23360</v>
      </c>
      <c r="H72" s="307">
        <v>23080</v>
      </c>
      <c r="I72" s="307">
        <v>22980</v>
      </c>
      <c r="J72" s="307">
        <v>23170</v>
      </c>
      <c r="K72" s="307">
        <v>23070</v>
      </c>
      <c r="L72" s="307">
        <v>23520</v>
      </c>
      <c r="M72" s="307">
        <v>23710</v>
      </c>
      <c r="N72" s="307">
        <v>24400</v>
      </c>
      <c r="O72" s="307">
        <v>24940</v>
      </c>
      <c r="P72" s="307">
        <v>25980</v>
      </c>
      <c r="Q72" s="307">
        <v>26490</v>
      </c>
      <c r="R72" s="307">
        <v>26580</v>
      </c>
      <c r="S72" s="307">
        <v>27880</v>
      </c>
      <c r="T72" s="307">
        <v>28230</v>
      </c>
      <c r="U72" s="307">
        <v>29140</v>
      </c>
      <c r="V72" s="307">
        <v>29610</v>
      </c>
      <c r="W72" s="307">
        <v>29410</v>
      </c>
      <c r="X72" s="307">
        <v>29050</v>
      </c>
      <c r="Y72" s="307">
        <v>27970</v>
      </c>
      <c r="Z72" s="307">
        <v>27610</v>
      </c>
      <c r="AA72" s="307">
        <v>27190</v>
      </c>
      <c r="AB72" s="307">
        <v>27320</v>
      </c>
      <c r="AC72" s="307">
        <v>27700</v>
      </c>
      <c r="AD72" s="307">
        <v>27340</v>
      </c>
      <c r="AE72" s="307">
        <v>27810</v>
      </c>
      <c r="AF72" s="307">
        <v>27430</v>
      </c>
      <c r="AG72" s="307">
        <v>26190</v>
      </c>
      <c r="AH72" s="307">
        <v>25080</v>
      </c>
      <c r="AI72" s="307">
        <v>24320</v>
      </c>
      <c r="AJ72" s="307">
        <v>23640</v>
      </c>
      <c r="AK72" s="307">
        <v>23610</v>
      </c>
      <c r="AL72" s="307">
        <v>23360</v>
      </c>
      <c r="AM72" s="307">
        <v>24160</v>
      </c>
      <c r="AN72" s="307">
        <v>24990</v>
      </c>
      <c r="AO72" s="307">
        <v>25900</v>
      </c>
      <c r="AP72" s="307">
        <v>26890</v>
      </c>
      <c r="AQ72" s="307">
        <v>28120</v>
      </c>
      <c r="AR72" s="307">
        <v>28540</v>
      </c>
      <c r="AS72" s="307">
        <v>29110</v>
      </c>
      <c r="AT72" s="307">
        <v>29970</v>
      </c>
      <c r="AU72" s="307">
        <v>30930</v>
      </c>
      <c r="AV72" s="307">
        <v>32550</v>
      </c>
      <c r="AW72" s="307">
        <v>33800</v>
      </c>
      <c r="AX72" s="307">
        <v>35180</v>
      </c>
      <c r="AY72" s="307">
        <v>36610</v>
      </c>
      <c r="AZ72" s="307">
        <v>36010</v>
      </c>
      <c r="BA72" s="307">
        <v>35950</v>
      </c>
      <c r="BB72" s="307">
        <v>35590</v>
      </c>
      <c r="BC72" s="307">
        <v>35690</v>
      </c>
      <c r="BD72" s="307">
        <v>35290</v>
      </c>
      <c r="BE72" s="307">
        <v>34140</v>
      </c>
      <c r="BF72" s="307">
        <v>34240</v>
      </c>
    </row>
    <row r="73" spans="1:58" x14ac:dyDescent="0.2">
      <c r="A73" s="308" t="s">
        <v>69</v>
      </c>
      <c r="B73" s="305"/>
      <c r="C73" s="307">
        <v>17930</v>
      </c>
      <c r="D73" s="307">
        <v>16110</v>
      </c>
      <c r="E73" s="307">
        <v>18110</v>
      </c>
      <c r="F73" s="307">
        <v>18750</v>
      </c>
      <c r="G73" s="307">
        <v>19630</v>
      </c>
      <c r="H73" s="307">
        <v>23220</v>
      </c>
      <c r="I73" s="307">
        <v>22930</v>
      </c>
      <c r="J73" s="307">
        <v>22840</v>
      </c>
      <c r="K73" s="307">
        <v>23040</v>
      </c>
      <c r="L73" s="307">
        <v>22950</v>
      </c>
      <c r="M73" s="307">
        <v>23410</v>
      </c>
      <c r="N73" s="307">
        <v>23600</v>
      </c>
      <c r="O73" s="307">
        <v>24290</v>
      </c>
      <c r="P73" s="307">
        <v>24830</v>
      </c>
      <c r="Q73" s="307">
        <v>25870</v>
      </c>
      <c r="R73" s="307">
        <v>26390</v>
      </c>
      <c r="S73" s="307">
        <v>26480</v>
      </c>
      <c r="T73" s="307">
        <v>27770</v>
      </c>
      <c r="U73" s="307">
        <v>28120</v>
      </c>
      <c r="V73" s="307">
        <v>29030</v>
      </c>
      <c r="W73" s="307">
        <v>29510</v>
      </c>
      <c r="X73" s="307">
        <v>29310</v>
      </c>
      <c r="Y73" s="307">
        <v>28960</v>
      </c>
      <c r="Z73" s="307">
        <v>27900</v>
      </c>
      <c r="AA73" s="307">
        <v>27540</v>
      </c>
      <c r="AB73" s="307">
        <v>27120</v>
      </c>
      <c r="AC73" s="307">
        <v>27260</v>
      </c>
      <c r="AD73" s="307">
        <v>27640</v>
      </c>
      <c r="AE73" s="307">
        <v>27280</v>
      </c>
      <c r="AF73" s="307">
        <v>27760</v>
      </c>
      <c r="AG73" s="307">
        <v>27380</v>
      </c>
      <c r="AH73" s="307">
        <v>26150</v>
      </c>
      <c r="AI73" s="307">
        <v>25050</v>
      </c>
      <c r="AJ73" s="307">
        <v>24290</v>
      </c>
      <c r="AK73" s="307">
        <v>23620</v>
      </c>
      <c r="AL73" s="307">
        <v>23600</v>
      </c>
      <c r="AM73" s="307">
        <v>23350</v>
      </c>
      <c r="AN73" s="307">
        <v>24150</v>
      </c>
      <c r="AO73" s="307">
        <v>24980</v>
      </c>
      <c r="AP73" s="307">
        <v>25890</v>
      </c>
      <c r="AQ73" s="307">
        <v>26880</v>
      </c>
      <c r="AR73" s="307">
        <v>28100</v>
      </c>
      <c r="AS73" s="307">
        <v>28520</v>
      </c>
      <c r="AT73" s="307">
        <v>29100</v>
      </c>
      <c r="AU73" s="307">
        <v>29960</v>
      </c>
      <c r="AV73" s="307">
        <v>30920</v>
      </c>
      <c r="AW73" s="307">
        <v>32540</v>
      </c>
      <c r="AX73" s="307">
        <v>33780</v>
      </c>
      <c r="AY73" s="307">
        <v>35170</v>
      </c>
      <c r="AZ73" s="307">
        <v>36590</v>
      </c>
      <c r="BA73" s="307">
        <v>36000</v>
      </c>
      <c r="BB73" s="307">
        <v>35940</v>
      </c>
      <c r="BC73" s="307">
        <v>35580</v>
      </c>
      <c r="BD73" s="307">
        <v>35680</v>
      </c>
      <c r="BE73" s="307">
        <v>35290</v>
      </c>
      <c r="BF73" s="307">
        <v>34140</v>
      </c>
    </row>
    <row r="74" spans="1:58" x14ac:dyDescent="0.2">
      <c r="A74" s="308" t="s">
        <v>70</v>
      </c>
      <c r="B74" s="305"/>
      <c r="C74" s="307">
        <v>17660</v>
      </c>
      <c r="D74" s="307">
        <v>17770</v>
      </c>
      <c r="E74" s="307">
        <v>15970</v>
      </c>
      <c r="F74" s="307">
        <v>17950</v>
      </c>
      <c r="G74" s="307">
        <v>18590</v>
      </c>
      <c r="H74" s="307">
        <v>19510</v>
      </c>
      <c r="I74" s="307">
        <v>23060</v>
      </c>
      <c r="J74" s="307">
        <v>22780</v>
      </c>
      <c r="K74" s="307">
        <v>22700</v>
      </c>
      <c r="L74" s="307">
        <v>22910</v>
      </c>
      <c r="M74" s="307">
        <v>22830</v>
      </c>
      <c r="N74" s="307">
        <v>23280</v>
      </c>
      <c r="O74" s="307">
        <v>23480</v>
      </c>
      <c r="P74" s="307">
        <v>24170</v>
      </c>
      <c r="Q74" s="307">
        <v>24710</v>
      </c>
      <c r="R74" s="307">
        <v>25750</v>
      </c>
      <c r="S74" s="307">
        <v>26260</v>
      </c>
      <c r="T74" s="307">
        <v>26360</v>
      </c>
      <c r="U74" s="307">
        <v>27650</v>
      </c>
      <c r="V74" s="307">
        <v>28010</v>
      </c>
      <c r="W74" s="307">
        <v>28910</v>
      </c>
      <c r="X74" s="307">
        <v>29390</v>
      </c>
      <c r="Y74" s="307">
        <v>29200</v>
      </c>
      <c r="Z74" s="307">
        <v>28860</v>
      </c>
      <c r="AA74" s="307">
        <v>27810</v>
      </c>
      <c r="AB74" s="307">
        <v>27460</v>
      </c>
      <c r="AC74" s="307">
        <v>27050</v>
      </c>
      <c r="AD74" s="307">
        <v>27180</v>
      </c>
      <c r="AE74" s="307">
        <v>27570</v>
      </c>
      <c r="AF74" s="307">
        <v>27220</v>
      </c>
      <c r="AG74" s="307">
        <v>27700</v>
      </c>
      <c r="AH74" s="307">
        <v>27330</v>
      </c>
      <c r="AI74" s="307">
        <v>26110</v>
      </c>
      <c r="AJ74" s="307">
        <v>25020</v>
      </c>
      <c r="AK74" s="307">
        <v>24260</v>
      </c>
      <c r="AL74" s="307">
        <v>23600</v>
      </c>
      <c r="AM74" s="307">
        <v>23570</v>
      </c>
      <c r="AN74" s="307">
        <v>23340</v>
      </c>
      <c r="AO74" s="307">
        <v>24130</v>
      </c>
      <c r="AP74" s="307">
        <v>24960</v>
      </c>
      <c r="AQ74" s="307">
        <v>25870</v>
      </c>
      <c r="AR74" s="307">
        <v>26860</v>
      </c>
      <c r="AS74" s="307">
        <v>28080</v>
      </c>
      <c r="AT74" s="307">
        <v>28500</v>
      </c>
      <c r="AU74" s="307">
        <v>29080</v>
      </c>
      <c r="AV74" s="307">
        <v>29940</v>
      </c>
      <c r="AW74" s="307">
        <v>30900</v>
      </c>
      <c r="AX74" s="307">
        <v>32520</v>
      </c>
      <c r="AY74" s="307">
        <v>33760</v>
      </c>
      <c r="AZ74" s="307">
        <v>35140</v>
      </c>
      <c r="BA74" s="307">
        <v>36560</v>
      </c>
      <c r="BB74" s="307">
        <v>35980</v>
      </c>
      <c r="BC74" s="307">
        <v>35920</v>
      </c>
      <c r="BD74" s="307">
        <v>35570</v>
      </c>
      <c r="BE74" s="307">
        <v>35670</v>
      </c>
      <c r="BF74" s="307">
        <v>35290</v>
      </c>
    </row>
    <row r="75" spans="1:58" x14ac:dyDescent="0.2">
      <c r="A75" s="308" t="s">
        <v>71</v>
      </c>
      <c r="B75" s="305"/>
      <c r="C75" s="307">
        <v>16280</v>
      </c>
      <c r="D75" s="307">
        <v>17460</v>
      </c>
      <c r="E75" s="307">
        <v>17580</v>
      </c>
      <c r="F75" s="307">
        <v>15820</v>
      </c>
      <c r="G75" s="307">
        <v>17800</v>
      </c>
      <c r="H75" s="307">
        <v>18430</v>
      </c>
      <c r="I75" s="307">
        <v>19350</v>
      </c>
      <c r="J75" s="307">
        <v>22860</v>
      </c>
      <c r="K75" s="307">
        <v>22600</v>
      </c>
      <c r="L75" s="307">
        <v>22530</v>
      </c>
      <c r="M75" s="307">
        <v>22750</v>
      </c>
      <c r="N75" s="307">
        <v>22670</v>
      </c>
      <c r="O75" s="307">
        <v>23130</v>
      </c>
      <c r="P75" s="307">
        <v>23330</v>
      </c>
      <c r="Q75" s="307">
        <v>24020</v>
      </c>
      <c r="R75" s="307">
        <v>24560</v>
      </c>
      <c r="S75" s="307">
        <v>25600</v>
      </c>
      <c r="T75" s="307">
        <v>26110</v>
      </c>
      <c r="U75" s="307">
        <v>26210</v>
      </c>
      <c r="V75" s="307">
        <v>27500</v>
      </c>
      <c r="W75" s="307">
        <v>27860</v>
      </c>
      <c r="X75" s="307">
        <v>28770</v>
      </c>
      <c r="Y75" s="307">
        <v>29250</v>
      </c>
      <c r="Z75" s="307">
        <v>29060</v>
      </c>
      <c r="AA75" s="307">
        <v>28730</v>
      </c>
      <c r="AB75" s="307">
        <v>27690</v>
      </c>
      <c r="AC75" s="307">
        <v>27350</v>
      </c>
      <c r="AD75" s="307">
        <v>26950</v>
      </c>
      <c r="AE75" s="307">
        <v>27090</v>
      </c>
      <c r="AF75" s="307">
        <v>27480</v>
      </c>
      <c r="AG75" s="307">
        <v>27130</v>
      </c>
      <c r="AH75" s="307">
        <v>27610</v>
      </c>
      <c r="AI75" s="307">
        <v>27250</v>
      </c>
      <c r="AJ75" s="307">
        <v>26040</v>
      </c>
      <c r="AK75" s="307">
        <v>24960</v>
      </c>
      <c r="AL75" s="307">
        <v>24210</v>
      </c>
      <c r="AM75" s="307">
        <v>23550</v>
      </c>
      <c r="AN75" s="307">
        <v>23530</v>
      </c>
      <c r="AO75" s="307">
        <v>23300</v>
      </c>
      <c r="AP75" s="307">
        <v>24090</v>
      </c>
      <c r="AQ75" s="307">
        <v>24920</v>
      </c>
      <c r="AR75" s="307">
        <v>25830</v>
      </c>
      <c r="AS75" s="307">
        <v>26820</v>
      </c>
      <c r="AT75" s="307">
        <v>28040</v>
      </c>
      <c r="AU75" s="307">
        <v>28460</v>
      </c>
      <c r="AV75" s="307">
        <v>29040</v>
      </c>
      <c r="AW75" s="307">
        <v>29900</v>
      </c>
      <c r="AX75" s="307">
        <v>30860</v>
      </c>
      <c r="AY75" s="307">
        <v>32470</v>
      </c>
      <c r="AZ75" s="307">
        <v>33720</v>
      </c>
      <c r="BA75" s="307">
        <v>35100</v>
      </c>
      <c r="BB75" s="307">
        <v>36520</v>
      </c>
      <c r="BC75" s="307">
        <v>35940</v>
      </c>
      <c r="BD75" s="307">
        <v>35880</v>
      </c>
      <c r="BE75" s="307">
        <v>35530</v>
      </c>
      <c r="BF75" s="307">
        <v>35640</v>
      </c>
    </row>
    <row r="76" spans="1:58" x14ac:dyDescent="0.2">
      <c r="A76" s="308" t="s">
        <v>72</v>
      </c>
      <c r="B76" s="305"/>
      <c r="C76" s="307">
        <v>14490</v>
      </c>
      <c r="D76" s="307">
        <v>16090</v>
      </c>
      <c r="E76" s="307">
        <v>17250</v>
      </c>
      <c r="F76" s="307">
        <v>17370</v>
      </c>
      <c r="G76" s="307">
        <v>15630</v>
      </c>
      <c r="H76" s="307">
        <v>17640</v>
      </c>
      <c r="I76" s="307">
        <v>18250</v>
      </c>
      <c r="J76" s="307">
        <v>19160</v>
      </c>
      <c r="K76" s="307">
        <v>22650</v>
      </c>
      <c r="L76" s="307">
        <v>22400</v>
      </c>
      <c r="M76" s="307">
        <v>22340</v>
      </c>
      <c r="N76" s="307">
        <v>22560</v>
      </c>
      <c r="O76" s="307">
        <v>22490</v>
      </c>
      <c r="P76" s="307">
        <v>22940</v>
      </c>
      <c r="Q76" s="307">
        <v>23150</v>
      </c>
      <c r="R76" s="307">
        <v>23840</v>
      </c>
      <c r="S76" s="307">
        <v>24380</v>
      </c>
      <c r="T76" s="307">
        <v>25410</v>
      </c>
      <c r="U76" s="307">
        <v>25930</v>
      </c>
      <c r="V76" s="307">
        <v>26040</v>
      </c>
      <c r="W76" s="307">
        <v>27320</v>
      </c>
      <c r="X76" s="307">
        <v>27680</v>
      </c>
      <c r="Y76" s="307">
        <v>28590</v>
      </c>
      <c r="Z76" s="307">
        <v>29070</v>
      </c>
      <c r="AA76" s="307">
        <v>28900</v>
      </c>
      <c r="AB76" s="307">
        <v>28570</v>
      </c>
      <c r="AC76" s="307">
        <v>27540</v>
      </c>
      <c r="AD76" s="307">
        <v>27210</v>
      </c>
      <c r="AE76" s="307">
        <v>26820</v>
      </c>
      <c r="AF76" s="307">
        <v>26960</v>
      </c>
      <c r="AG76" s="307">
        <v>27350</v>
      </c>
      <c r="AH76" s="307">
        <v>27020</v>
      </c>
      <c r="AI76" s="307">
        <v>27500</v>
      </c>
      <c r="AJ76" s="307">
        <v>27140</v>
      </c>
      <c r="AK76" s="307">
        <v>25940</v>
      </c>
      <c r="AL76" s="307">
        <v>24870</v>
      </c>
      <c r="AM76" s="307">
        <v>24140</v>
      </c>
      <c r="AN76" s="307">
        <v>23490</v>
      </c>
      <c r="AO76" s="307">
        <v>23470</v>
      </c>
      <c r="AP76" s="307">
        <v>23240</v>
      </c>
      <c r="AQ76" s="307">
        <v>24030</v>
      </c>
      <c r="AR76" s="307">
        <v>24860</v>
      </c>
      <c r="AS76" s="307">
        <v>25770</v>
      </c>
      <c r="AT76" s="307">
        <v>26750</v>
      </c>
      <c r="AU76" s="307">
        <v>27970</v>
      </c>
      <c r="AV76" s="307">
        <v>28400</v>
      </c>
      <c r="AW76" s="307">
        <v>28980</v>
      </c>
      <c r="AX76" s="307">
        <v>29830</v>
      </c>
      <c r="AY76" s="307">
        <v>30800</v>
      </c>
      <c r="AZ76" s="307">
        <v>32400</v>
      </c>
      <c r="BA76" s="307">
        <v>33650</v>
      </c>
      <c r="BB76" s="307">
        <v>35030</v>
      </c>
      <c r="BC76" s="307">
        <v>36440</v>
      </c>
      <c r="BD76" s="307">
        <v>35870</v>
      </c>
      <c r="BE76" s="307">
        <v>35820</v>
      </c>
      <c r="BF76" s="307">
        <v>35470</v>
      </c>
    </row>
    <row r="77" spans="1:58" x14ac:dyDescent="0.2">
      <c r="A77" s="308" t="s">
        <v>73</v>
      </c>
      <c r="B77" s="305"/>
      <c r="C77" s="307">
        <v>13990</v>
      </c>
      <c r="D77" s="307">
        <v>14300</v>
      </c>
      <c r="E77" s="307">
        <v>15860</v>
      </c>
      <c r="F77" s="307">
        <v>17050</v>
      </c>
      <c r="G77" s="307">
        <v>17170</v>
      </c>
      <c r="H77" s="307">
        <v>15450</v>
      </c>
      <c r="I77" s="307">
        <v>17440</v>
      </c>
      <c r="J77" s="307">
        <v>18040</v>
      </c>
      <c r="K77" s="307">
        <v>18950</v>
      </c>
      <c r="L77" s="307">
        <v>22400</v>
      </c>
      <c r="M77" s="307">
        <v>22160</v>
      </c>
      <c r="N77" s="307">
        <v>22110</v>
      </c>
      <c r="O77" s="307">
        <v>22330</v>
      </c>
      <c r="P77" s="307">
        <v>22270</v>
      </c>
      <c r="Q77" s="307">
        <v>22730</v>
      </c>
      <c r="R77" s="307">
        <v>22940</v>
      </c>
      <c r="S77" s="307">
        <v>23630</v>
      </c>
      <c r="T77" s="307">
        <v>24170</v>
      </c>
      <c r="U77" s="307">
        <v>25200</v>
      </c>
      <c r="V77" s="307">
        <v>25720</v>
      </c>
      <c r="W77" s="307">
        <v>25830</v>
      </c>
      <c r="X77" s="307">
        <v>27100</v>
      </c>
      <c r="Y77" s="307">
        <v>27470</v>
      </c>
      <c r="Z77" s="307">
        <v>28380</v>
      </c>
      <c r="AA77" s="307">
        <v>28860</v>
      </c>
      <c r="AB77" s="307">
        <v>28700</v>
      </c>
      <c r="AC77" s="307">
        <v>28380</v>
      </c>
      <c r="AD77" s="307">
        <v>27370</v>
      </c>
      <c r="AE77" s="307">
        <v>27040</v>
      </c>
      <c r="AF77" s="307">
        <v>26660</v>
      </c>
      <c r="AG77" s="307">
        <v>26810</v>
      </c>
      <c r="AH77" s="307">
        <v>27200</v>
      </c>
      <c r="AI77" s="307">
        <v>26870</v>
      </c>
      <c r="AJ77" s="307">
        <v>27350</v>
      </c>
      <c r="AK77" s="307">
        <v>27010</v>
      </c>
      <c r="AL77" s="307">
        <v>25820</v>
      </c>
      <c r="AM77" s="307">
        <v>24760</v>
      </c>
      <c r="AN77" s="307">
        <v>24040</v>
      </c>
      <c r="AO77" s="307">
        <v>23390</v>
      </c>
      <c r="AP77" s="307">
        <v>23380</v>
      </c>
      <c r="AQ77" s="307">
        <v>23150</v>
      </c>
      <c r="AR77" s="307">
        <v>23950</v>
      </c>
      <c r="AS77" s="307">
        <v>24780</v>
      </c>
      <c r="AT77" s="307">
        <v>25680</v>
      </c>
      <c r="AU77" s="307">
        <v>26660</v>
      </c>
      <c r="AV77" s="307">
        <v>27880</v>
      </c>
      <c r="AW77" s="307">
        <v>28310</v>
      </c>
      <c r="AX77" s="307">
        <v>28890</v>
      </c>
      <c r="AY77" s="307">
        <v>29750</v>
      </c>
      <c r="AZ77" s="307">
        <v>30710</v>
      </c>
      <c r="BA77" s="307">
        <v>32310</v>
      </c>
      <c r="BB77" s="307">
        <v>33550</v>
      </c>
      <c r="BC77" s="307">
        <v>34930</v>
      </c>
      <c r="BD77" s="307">
        <v>36350</v>
      </c>
      <c r="BE77" s="307">
        <v>35780</v>
      </c>
      <c r="BF77" s="307">
        <v>35730</v>
      </c>
    </row>
    <row r="78" spans="1:58" x14ac:dyDescent="0.2">
      <c r="A78" s="308" t="s">
        <v>74</v>
      </c>
      <c r="B78" s="305"/>
      <c r="C78" s="307">
        <v>13200</v>
      </c>
      <c r="D78" s="307">
        <v>13790</v>
      </c>
      <c r="E78" s="307">
        <v>14080</v>
      </c>
      <c r="F78" s="307">
        <v>15630</v>
      </c>
      <c r="G78" s="307">
        <v>16790</v>
      </c>
      <c r="H78" s="307">
        <v>16940</v>
      </c>
      <c r="I78" s="307">
        <v>15240</v>
      </c>
      <c r="J78" s="307">
        <v>17200</v>
      </c>
      <c r="K78" s="307">
        <v>17810</v>
      </c>
      <c r="L78" s="307">
        <v>18720</v>
      </c>
      <c r="M78" s="307">
        <v>22120</v>
      </c>
      <c r="N78" s="307">
        <v>21900</v>
      </c>
      <c r="O78" s="307">
        <v>21850</v>
      </c>
      <c r="P78" s="307">
        <v>22080</v>
      </c>
      <c r="Q78" s="307">
        <v>22030</v>
      </c>
      <c r="R78" s="307">
        <v>22490</v>
      </c>
      <c r="S78" s="307">
        <v>22700</v>
      </c>
      <c r="T78" s="307">
        <v>23390</v>
      </c>
      <c r="U78" s="307">
        <v>23930</v>
      </c>
      <c r="V78" s="307">
        <v>24950</v>
      </c>
      <c r="W78" s="307">
        <v>25480</v>
      </c>
      <c r="X78" s="307">
        <v>25590</v>
      </c>
      <c r="Y78" s="307">
        <v>26860</v>
      </c>
      <c r="Z78" s="307">
        <v>27230</v>
      </c>
      <c r="AA78" s="307">
        <v>28140</v>
      </c>
      <c r="AB78" s="307">
        <v>28630</v>
      </c>
      <c r="AC78" s="307">
        <v>28470</v>
      </c>
      <c r="AD78" s="307">
        <v>28160</v>
      </c>
      <c r="AE78" s="307">
        <v>27170</v>
      </c>
      <c r="AF78" s="307">
        <v>26850</v>
      </c>
      <c r="AG78" s="307">
        <v>26470</v>
      </c>
      <c r="AH78" s="307">
        <v>26630</v>
      </c>
      <c r="AI78" s="307">
        <v>27030</v>
      </c>
      <c r="AJ78" s="307">
        <v>26710</v>
      </c>
      <c r="AK78" s="307">
        <v>27190</v>
      </c>
      <c r="AL78" s="307">
        <v>26850</v>
      </c>
      <c r="AM78" s="307">
        <v>25680</v>
      </c>
      <c r="AN78" s="307">
        <v>24630</v>
      </c>
      <c r="AO78" s="307">
        <v>23910</v>
      </c>
      <c r="AP78" s="307">
        <v>23280</v>
      </c>
      <c r="AQ78" s="307">
        <v>23270</v>
      </c>
      <c r="AR78" s="307">
        <v>23050</v>
      </c>
      <c r="AS78" s="307">
        <v>23840</v>
      </c>
      <c r="AT78" s="307">
        <v>24670</v>
      </c>
      <c r="AU78" s="307">
        <v>25570</v>
      </c>
      <c r="AV78" s="307">
        <v>26560</v>
      </c>
      <c r="AW78" s="307">
        <v>27770</v>
      </c>
      <c r="AX78" s="307">
        <v>28200</v>
      </c>
      <c r="AY78" s="307">
        <v>28780</v>
      </c>
      <c r="AZ78" s="307">
        <v>29640</v>
      </c>
      <c r="BA78" s="307">
        <v>30600</v>
      </c>
      <c r="BB78" s="307">
        <v>32200</v>
      </c>
      <c r="BC78" s="307">
        <v>33440</v>
      </c>
      <c r="BD78" s="307">
        <v>34810</v>
      </c>
      <c r="BE78" s="307">
        <v>36230</v>
      </c>
      <c r="BF78" s="307">
        <v>35670</v>
      </c>
    </row>
    <row r="79" spans="1:58" x14ac:dyDescent="0.2">
      <c r="A79" s="308" t="s">
        <v>75</v>
      </c>
      <c r="B79" s="305"/>
      <c r="C79" s="307">
        <v>12400</v>
      </c>
      <c r="D79" s="307">
        <v>12950</v>
      </c>
      <c r="E79" s="307">
        <v>13560</v>
      </c>
      <c r="F79" s="307">
        <v>13850</v>
      </c>
      <c r="G79" s="307">
        <v>15400</v>
      </c>
      <c r="H79" s="307">
        <v>16530</v>
      </c>
      <c r="I79" s="307">
        <v>16680</v>
      </c>
      <c r="J79" s="307">
        <v>15010</v>
      </c>
      <c r="K79" s="307">
        <v>16950</v>
      </c>
      <c r="L79" s="307">
        <v>17560</v>
      </c>
      <c r="M79" s="307">
        <v>18460</v>
      </c>
      <c r="N79" s="307">
        <v>21820</v>
      </c>
      <c r="O79" s="307">
        <v>21600</v>
      </c>
      <c r="P79" s="307">
        <v>21570</v>
      </c>
      <c r="Q79" s="307">
        <v>21800</v>
      </c>
      <c r="R79" s="307">
        <v>21760</v>
      </c>
      <c r="S79" s="307">
        <v>22220</v>
      </c>
      <c r="T79" s="307">
        <v>22440</v>
      </c>
      <c r="U79" s="307">
        <v>23130</v>
      </c>
      <c r="V79" s="307">
        <v>23670</v>
      </c>
      <c r="W79" s="307">
        <v>24690</v>
      </c>
      <c r="X79" s="307">
        <v>25210</v>
      </c>
      <c r="Y79" s="307">
        <v>25330</v>
      </c>
      <c r="Z79" s="307">
        <v>26600</v>
      </c>
      <c r="AA79" s="307">
        <v>26970</v>
      </c>
      <c r="AB79" s="307">
        <v>27870</v>
      </c>
      <c r="AC79" s="307">
        <v>28370</v>
      </c>
      <c r="AD79" s="307">
        <v>28220</v>
      </c>
      <c r="AE79" s="307">
        <v>27920</v>
      </c>
      <c r="AF79" s="307">
        <v>26940</v>
      </c>
      <c r="AG79" s="307">
        <v>26640</v>
      </c>
      <c r="AH79" s="307">
        <v>26270</v>
      </c>
      <c r="AI79" s="307">
        <v>26430</v>
      </c>
      <c r="AJ79" s="307">
        <v>26830</v>
      </c>
      <c r="AK79" s="307">
        <v>26520</v>
      </c>
      <c r="AL79" s="307">
        <v>27000</v>
      </c>
      <c r="AM79" s="307">
        <v>26670</v>
      </c>
      <c r="AN79" s="307">
        <v>25520</v>
      </c>
      <c r="AO79" s="307">
        <v>24480</v>
      </c>
      <c r="AP79" s="307">
        <v>23770</v>
      </c>
      <c r="AQ79" s="307">
        <v>23150</v>
      </c>
      <c r="AR79" s="307">
        <v>23140</v>
      </c>
      <c r="AS79" s="307">
        <v>22930</v>
      </c>
      <c r="AT79" s="307">
        <v>23720</v>
      </c>
      <c r="AU79" s="307">
        <v>24550</v>
      </c>
      <c r="AV79" s="307">
        <v>25450</v>
      </c>
      <c r="AW79" s="307">
        <v>26430</v>
      </c>
      <c r="AX79" s="307">
        <v>27640</v>
      </c>
      <c r="AY79" s="307">
        <v>28070</v>
      </c>
      <c r="AZ79" s="307">
        <v>28660</v>
      </c>
      <c r="BA79" s="307">
        <v>29510</v>
      </c>
      <c r="BB79" s="307">
        <v>30470</v>
      </c>
      <c r="BC79" s="307">
        <v>32070</v>
      </c>
      <c r="BD79" s="307">
        <v>33310</v>
      </c>
      <c r="BE79" s="307">
        <v>34680</v>
      </c>
      <c r="BF79" s="307">
        <v>36090</v>
      </c>
    </row>
    <row r="80" spans="1:58" x14ac:dyDescent="0.2">
      <c r="A80" s="308" t="s">
        <v>76</v>
      </c>
      <c r="B80" s="305"/>
      <c r="C80" s="307">
        <v>11940</v>
      </c>
      <c r="D80" s="307">
        <v>12130</v>
      </c>
      <c r="E80" s="307">
        <v>12680</v>
      </c>
      <c r="F80" s="307">
        <v>13290</v>
      </c>
      <c r="G80" s="307">
        <v>13620</v>
      </c>
      <c r="H80" s="307">
        <v>15100</v>
      </c>
      <c r="I80" s="307">
        <v>16230</v>
      </c>
      <c r="J80" s="307">
        <v>16390</v>
      </c>
      <c r="K80" s="307">
        <v>14760</v>
      </c>
      <c r="L80" s="307">
        <v>16680</v>
      </c>
      <c r="M80" s="307">
        <v>17290</v>
      </c>
      <c r="N80" s="307">
        <v>18180</v>
      </c>
      <c r="O80" s="307">
        <v>21490</v>
      </c>
      <c r="P80" s="307">
        <v>21290</v>
      </c>
      <c r="Q80" s="307">
        <v>21260</v>
      </c>
      <c r="R80" s="307">
        <v>21500</v>
      </c>
      <c r="S80" s="307">
        <v>21460</v>
      </c>
      <c r="T80" s="307">
        <v>21920</v>
      </c>
      <c r="U80" s="307">
        <v>22150</v>
      </c>
      <c r="V80" s="307">
        <v>22840</v>
      </c>
      <c r="W80" s="307">
        <v>23380</v>
      </c>
      <c r="X80" s="307">
        <v>24390</v>
      </c>
      <c r="Y80" s="307">
        <v>24920</v>
      </c>
      <c r="Z80" s="307">
        <v>25050</v>
      </c>
      <c r="AA80" s="307">
        <v>26310</v>
      </c>
      <c r="AB80" s="307">
        <v>26690</v>
      </c>
      <c r="AC80" s="307">
        <v>27590</v>
      </c>
      <c r="AD80" s="307">
        <v>28080</v>
      </c>
      <c r="AE80" s="307">
        <v>27940</v>
      </c>
      <c r="AF80" s="307">
        <v>27660</v>
      </c>
      <c r="AG80" s="307">
        <v>26700</v>
      </c>
      <c r="AH80" s="307">
        <v>26400</v>
      </c>
      <c r="AI80" s="307">
        <v>26040</v>
      </c>
      <c r="AJ80" s="307">
        <v>26210</v>
      </c>
      <c r="AK80" s="307">
        <v>26610</v>
      </c>
      <c r="AL80" s="307">
        <v>26310</v>
      </c>
      <c r="AM80" s="307">
        <v>26800</v>
      </c>
      <c r="AN80" s="307">
        <v>26470</v>
      </c>
      <c r="AO80" s="307">
        <v>25340</v>
      </c>
      <c r="AP80" s="307">
        <v>24320</v>
      </c>
      <c r="AQ80" s="307">
        <v>23620</v>
      </c>
      <c r="AR80" s="307">
        <v>23000</v>
      </c>
      <c r="AS80" s="307">
        <v>23000</v>
      </c>
      <c r="AT80" s="307">
        <v>22790</v>
      </c>
      <c r="AU80" s="307">
        <v>23580</v>
      </c>
      <c r="AV80" s="307">
        <v>24410</v>
      </c>
      <c r="AW80" s="307">
        <v>25310</v>
      </c>
      <c r="AX80" s="307">
        <v>26290</v>
      </c>
      <c r="AY80" s="307">
        <v>27500</v>
      </c>
      <c r="AZ80" s="307">
        <v>27930</v>
      </c>
      <c r="BA80" s="307">
        <v>28520</v>
      </c>
      <c r="BB80" s="307">
        <v>29370</v>
      </c>
      <c r="BC80" s="307">
        <v>30330</v>
      </c>
      <c r="BD80" s="307">
        <v>31920</v>
      </c>
      <c r="BE80" s="307">
        <v>33160</v>
      </c>
      <c r="BF80" s="307">
        <v>34530</v>
      </c>
    </row>
    <row r="81" spans="1:58" x14ac:dyDescent="0.2">
      <c r="A81" s="308" t="s">
        <v>77</v>
      </c>
      <c r="B81" s="305"/>
      <c r="C81" s="307">
        <v>11370</v>
      </c>
      <c r="D81" s="307">
        <v>11680</v>
      </c>
      <c r="E81" s="307">
        <v>11880</v>
      </c>
      <c r="F81" s="307">
        <v>12420</v>
      </c>
      <c r="G81" s="307">
        <v>13030</v>
      </c>
      <c r="H81" s="307">
        <v>13340</v>
      </c>
      <c r="I81" s="307">
        <v>14810</v>
      </c>
      <c r="J81" s="307">
        <v>15920</v>
      </c>
      <c r="K81" s="307">
        <v>16090</v>
      </c>
      <c r="L81" s="307">
        <v>14500</v>
      </c>
      <c r="M81" s="307">
        <v>16390</v>
      </c>
      <c r="N81" s="307">
        <v>16990</v>
      </c>
      <c r="O81" s="307">
        <v>17870</v>
      </c>
      <c r="P81" s="307">
        <v>21130</v>
      </c>
      <c r="Q81" s="307">
        <v>20940</v>
      </c>
      <c r="R81" s="307">
        <v>20930</v>
      </c>
      <c r="S81" s="307">
        <v>21170</v>
      </c>
      <c r="T81" s="307">
        <v>21140</v>
      </c>
      <c r="U81" s="307">
        <v>21610</v>
      </c>
      <c r="V81" s="307">
        <v>21840</v>
      </c>
      <c r="W81" s="307">
        <v>22520</v>
      </c>
      <c r="X81" s="307">
        <v>23070</v>
      </c>
      <c r="Y81" s="307">
        <v>24080</v>
      </c>
      <c r="Z81" s="307">
        <v>24610</v>
      </c>
      <c r="AA81" s="307">
        <v>24740</v>
      </c>
      <c r="AB81" s="307">
        <v>25990</v>
      </c>
      <c r="AC81" s="307">
        <v>26370</v>
      </c>
      <c r="AD81" s="307">
        <v>27270</v>
      </c>
      <c r="AE81" s="307">
        <v>27770</v>
      </c>
      <c r="AF81" s="307">
        <v>27640</v>
      </c>
      <c r="AG81" s="307">
        <v>27370</v>
      </c>
      <c r="AH81" s="307">
        <v>26430</v>
      </c>
      <c r="AI81" s="307">
        <v>26140</v>
      </c>
      <c r="AJ81" s="307">
        <v>25800</v>
      </c>
      <c r="AK81" s="307">
        <v>25970</v>
      </c>
      <c r="AL81" s="307">
        <v>26370</v>
      </c>
      <c r="AM81" s="307">
        <v>26080</v>
      </c>
      <c r="AN81" s="307">
        <v>26570</v>
      </c>
      <c r="AO81" s="307">
        <v>26260</v>
      </c>
      <c r="AP81" s="307">
        <v>25140</v>
      </c>
      <c r="AQ81" s="307">
        <v>24130</v>
      </c>
      <c r="AR81" s="307">
        <v>23440</v>
      </c>
      <c r="AS81" s="307">
        <v>22840</v>
      </c>
      <c r="AT81" s="307">
        <v>22840</v>
      </c>
      <c r="AU81" s="307">
        <v>22640</v>
      </c>
      <c r="AV81" s="307">
        <v>23430</v>
      </c>
      <c r="AW81" s="307">
        <v>24260</v>
      </c>
      <c r="AX81" s="307">
        <v>25150</v>
      </c>
      <c r="AY81" s="307">
        <v>26130</v>
      </c>
      <c r="AZ81" s="307">
        <v>27340</v>
      </c>
      <c r="BA81" s="307">
        <v>27770</v>
      </c>
      <c r="BB81" s="307">
        <v>28360</v>
      </c>
      <c r="BC81" s="307">
        <v>29210</v>
      </c>
      <c r="BD81" s="307">
        <v>30170</v>
      </c>
      <c r="BE81" s="307">
        <v>31760</v>
      </c>
      <c r="BF81" s="307">
        <v>32990</v>
      </c>
    </row>
    <row r="82" spans="1:58" x14ac:dyDescent="0.2">
      <c r="A82" s="308" t="s">
        <v>78</v>
      </c>
      <c r="B82" s="305"/>
      <c r="C82" s="307">
        <v>10890</v>
      </c>
      <c r="D82" s="307">
        <v>11050</v>
      </c>
      <c r="E82" s="307">
        <v>11410</v>
      </c>
      <c r="F82" s="307">
        <v>11580</v>
      </c>
      <c r="G82" s="307">
        <v>12150</v>
      </c>
      <c r="H82" s="307">
        <v>12730</v>
      </c>
      <c r="I82" s="307">
        <v>13050</v>
      </c>
      <c r="J82" s="307">
        <v>14490</v>
      </c>
      <c r="K82" s="307">
        <v>15590</v>
      </c>
      <c r="L82" s="307">
        <v>15760</v>
      </c>
      <c r="M82" s="307">
        <v>14220</v>
      </c>
      <c r="N82" s="307">
        <v>16070</v>
      </c>
      <c r="O82" s="307">
        <v>16670</v>
      </c>
      <c r="P82" s="307">
        <v>17540</v>
      </c>
      <c r="Q82" s="307">
        <v>20750</v>
      </c>
      <c r="R82" s="307">
        <v>20570</v>
      </c>
      <c r="S82" s="307">
        <v>20570</v>
      </c>
      <c r="T82" s="307">
        <v>20820</v>
      </c>
      <c r="U82" s="307">
        <v>20800</v>
      </c>
      <c r="V82" s="307">
        <v>21260</v>
      </c>
      <c r="W82" s="307">
        <v>21500</v>
      </c>
      <c r="X82" s="307">
        <v>22190</v>
      </c>
      <c r="Y82" s="307">
        <v>22730</v>
      </c>
      <c r="Z82" s="307">
        <v>23730</v>
      </c>
      <c r="AA82" s="307">
        <v>24260</v>
      </c>
      <c r="AB82" s="307">
        <v>24410</v>
      </c>
      <c r="AC82" s="307">
        <v>25650</v>
      </c>
      <c r="AD82" s="307">
        <v>26030</v>
      </c>
      <c r="AE82" s="307">
        <v>26930</v>
      </c>
      <c r="AF82" s="307">
        <v>27430</v>
      </c>
      <c r="AG82" s="307">
        <v>27310</v>
      </c>
      <c r="AH82" s="307">
        <v>27050</v>
      </c>
      <c r="AI82" s="307">
        <v>26130</v>
      </c>
      <c r="AJ82" s="307">
        <v>25860</v>
      </c>
      <c r="AK82" s="307">
        <v>25530</v>
      </c>
      <c r="AL82" s="307">
        <v>25700</v>
      </c>
      <c r="AM82" s="307">
        <v>26110</v>
      </c>
      <c r="AN82" s="307">
        <v>25830</v>
      </c>
      <c r="AO82" s="307">
        <v>26320</v>
      </c>
      <c r="AP82" s="307">
        <v>26020</v>
      </c>
      <c r="AQ82" s="307">
        <v>24910</v>
      </c>
      <c r="AR82" s="307">
        <v>23930</v>
      </c>
      <c r="AS82" s="307">
        <v>23250</v>
      </c>
      <c r="AT82" s="307">
        <v>22660</v>
      </c>
      <c r="AU82" s="307">
        <v>22670</v>
      </c>
      <c r="AV82" s="307">
        <v>22470</v>
      </c>
      <c r="AW82" s="307">
        <v>23260</v>
      </c>
      <c r="AX82" s="307">
        <v>24080</v>
      </c>
      <c r="AY82" s="307">
        <v>24980</v>
      </c>
      <c r="AZ82" s="307">
        <v>25950</v>
      </c>
      <c r="BA82" s="307">
        <v>27150</v>
      </c>
      <c r="BB82" s="307">
        <v>27590</v>
      </c>
      <c r="BC82" s="307">
        <v>28180</v>
      </c>
      <c r="BD82" s="307">
        <v>29030</v>
      </c>
      <c r="BE82" s="307">
        <v>29990</v>
      </c>
      <c r="BF82" s="307">
        <v>31570</v>
      </c>
    </row>
    <row r="83" spans="1:58" x14ac:dyDescent="0.2">
      <c r="A83" s="308" t="s">
        <v>79</v>
      </c>
      <c r="B83" s="305"/>
      <c r="C83" s="307">
        <v>10790</v>
      </c>
      <c r="D83" s="307">
        <v>10560</v>
      </c>
      <c r="E83" s="307">
        <v>10740</v>
      </c>
      <c r="F83" s="307">
        <v>11090</v>
      </c>
      <c r="G83" s="307">
        <v>11290</v>
      </c>
      <c r="H83" s="307">
        <v>11880</v>
      </c>
      <c r="I83" s="307">
        <v>12410</v>
      </c>
      <c r="J83" s="307">
        <v>12730</v>
      </c>
      <c r="K83" s="307">
        <v>14140</v>
      </c>
      <c r="L83" s="307">
        <v>15230</v>
      </c>
      <c r="M83" s="307">
        <v>15410</v>
      </c>
      <c r="N83" s="307">
        <v>13910</v>
      </c>
      <c r="O83" s="307">
        <v>15730</v>
      </c>
      <c r="P83" s="307">
        <v>16320</v>
      </c>
      <c r="Q83" s="307">
        <v>17190</v>
      </c>
      <c r="R83" s="307">
        <v>20330</v>
      </c>
      <c r="S83" s="307">
        <v>20170</v>
      </c>
      <c r="T83" s="307">
        <v>20180</v>
      </c>
      <c r="U83" s="307">
        <v>20430</v>
      </c>
      <c r="V83" s="307">
        <v>20430</v>
      </c>
      <c r="W83" s="307">
        <v>20890</v>
      </c>
      <c r="X83" s="307">
        <v>21130</v>
      </c>
      <c r="Y83" s="307">
        <v>21820</v>
      </c>
      <c r="Z83" s="307">
        <v>22360</v>
      </c>
      <c r="AA83" s="307">
        <v>23360</v>
      </c>
      <c r="AB83" s="307">
        <v>23890</v>
      </c>
      <c r="AC83" s="307">
        <v>24040</v>
      </c>
      <c r="AD83" s="307">
        <v>25270</v>
      </c>
      <c r="AE83" s="307">
        <v>25660</v>
      </c>
      <c r="AF83" s="307">
        <v>26550</v>
      </c>
      <c r="AG83" s="307">
        <v>27060</v>
      </c>
      <c r="AH83" s="307">
        <v>26950</v>
      </c>
      <c r="AI83" s="307">
        <v>26710</v>
      </c>
      <c r="AJ83" s="307">
        <v>25810</v>
      </c>
      <c r="AK83" s="307">
        <v>25540</v>
      </c>
      <c r="AL83" s="307">
        <v>25230</v>
      </c>
      <c r="AM83" s="307">
        <v>25410</v>
      </c>
      <c r="AN83" s="307">
        <v>25820</v>
      </c>
      <c r="AO83" s="307">
        <v>25550</v>
      </c>
      <c r="AP83" s="307">
        <v>26040</v>
      </c>
      <c r="AQ83" s="307">
        <v>25750</v>
      </c>
      <c r="AR83" s="307">
        <v>24670</v>
      </c>
      <c r="AS83" s="307">
        <v>23700</v>
      </c>
      <c r="AT83" s="307">
        <v>23040</v>
      </c>
      <c r="AU83" s="307">
        <v>22450</v>
      </c>
      <c r="AV83" s="307">
        <v>22470</v>
      </c>
      <c r="AW83" s="307">
        <v>22280</v>
      </c>
      <c r="AX83" s="307">
        <v>23070</v>
      </c>
      <c r="AY83" s="307">
        <v>23890</v>
      </c>
      <c r="AZ83" s="307">
        <v>24780</v>
      </c>
      <c r="BA83" s="307">
        <v>25750</v>
      </c>
      <c r="BB83" s="307">
        <v>26950</v>
      </c>
      <c r="BC83" s="307">
        <v>27390</v>
      </c>
      <c r="BD83" s="307">
        <v>27980</v>
      </c>
      <c r="BE83" s="307">
        <v>28830</v>
      </c>
      <c r="BF83" s="307">
        <v>29780</v>
      </c>
    </row>
    <row r="84" spans="1:58" x14ac:dyDescent="0.2">
      <c r="A84" s="308" t="s">
        <v>80</v>
      </c>
      <c r="B84" s="305"/>
      <c r="C84" s="307">
        <v>10770</v>
      </c>
      <c r="D84" s="307">
        <v>10470</v>
      </c>
      <c r="E84" s="307">
        <v>10240</v>
      </c>
      <c r="F84" s="307">
        <v>10400</v>
      </c>
      <c r="G84" s="307">
        <v>10750</v>
      </c>
      <c r="H84" s="307">
        <v>10980</v>
      </c>
      <c r="I84" s="307">
        <v>11550</v>
      </c>
      <c r="J84" s="307">
        <v>12070</v>
      </c>
      <c r="K84" s="307">
        <v>12390</v>
      </c>
      <c r="L84" s="307">
        <v>13780</v>
      </c>
      <c r="M84" s="307">
        <v>14840</v>
      </c>
      <c r="N84" s="307">
        <v>15020</v>
      </c>
      <c r="O84" s="307">
        <v>13580</v>
      </c>
      <c r="P84" s="307">
        <v>15360</v>
      </c>
      <c r="Q84" s="307">
        <v>15950</v>
      </c>
      <c r="R84" s="307">
        <v>16800</v>
      </c>
      <c r="S84" s="307">
        <v>19880</v>
      </c>
      <c r="T84" s="307">
        <v>19740</v>
      </c>
      <c r="U84" s="307">
        <v>19750</v>
      </c>
      <c r="V84" s="307">
        <v>20020</v>
      </c>
      <c r="W84" s="307">
        <v>20020</v>
      </c>
      <c r="X84" s="307">
        <v>20490</v>
      </c>
      <c r="Y84" s="307">
        <v>20730</v>
      </c>
      <c r="Z84" s="307">
        <v>21410</v>
      </c>
      <c r="AA84" s="307">
        <v>21960</v>
      </c>
      <c r="AB84" s="307">
        <v>22950</v>
      </c>
      <c r="AC84" s="307">
        <v>23480</v>
      </c>
      <c r="AD84" s="307">
        <v>23640</v>
      </c>
      <c r="AE84" s="307">
        <v>24860</v>
      </c>
      <c r="AF84" s="307">
        <v>25260</v>
      </c>
      <c r="AG84" s="307">
        <v>26140</v>
      </c>
      <c r="AH84" s="307">
        <v>26650</v>
      </c>
      <c r="AI84" s="307">
        <v>26560</v>
      </c>
      <c r="AJ84" s="307">
        <v>26330</v>
      </c>
      <c r="AK84" s="307">
        <v>25450</v>
      </c>
      <c r="AL84" s="307">
        <v>25200</v>
      </c>
      <c r="AM84" s="307">
        <v>24900</v>
      </c>
      <c r="AN84" s="307">
        <v>25090</v>
      </c>
      <c r="AO84" s="307">
        <v>25500</v>
      </c>
      <c r="AP84" s="307">
        <v>25240</v>
      </c>
      <c r="AQ84" s="307">
        <v>25740</v>
      </c>
      <c r="AR84" s="307">
        <v>25460</v>
      </c>
      <c r="AS84" s="307">
        <v>24390</v>
      </c>
      <c r="AT84" s="307">
        <v>23440</v>
      </c>
      <c r="AU84" s="307">
        <v>22800</v>
      </c>
      <c r="AV84" s="307">
        <v>22230</v>
      </c>
      <c r="AW84" s="307">
        <v>22250</v>
      </c>
      <c r="AX84" s="307">
        <v>22070</v>
      </c>
      <c r="AY84" s="307">
        <v>22850</v>
      </c>
      <c r="AZ84" s="307">
        <v>23670</v>
      </c>
      <c r="BA84" s="307">
        <v>24560</v>
      </c>
      <c r="BB84" s="307">
        <v>25530</v>
      </c>
      <c r="BC84" s="307">
        <v>26720</v>
      </c>
      <c r="BD84" s="307">
        <v>27160</v>
      </c>
      <c r="BE84" s="307">
        <v>27750</v>
      </c>
      <c r="BF84" s="307">
        <v>28600</v>
      </c>
    </row>
    <row r="85" spans="1:58" x14ac:dyDescent="0.2">
      <c r="A85" s="308" t="s">
        <v>81</v>
      </c>
      <c r="B85" s="305"/>
      <c r="C85" s="307">
        <v>10040</v>
      </c>
      <c r="D85" s="307">
        <v>10400</v>
      </c>
      <c r="E85" s="307">
        <v>10120</v>
      </c>
      <c r="F85" s="307">
        <v>9890</v>
      </c>
      <c r="G85" s="307">
        <v>10060</v>
      </c>
      <c r="H85" s="307">
        <v>10430</v>
      </c>
      <c r="I85" s="307">
        <v>10640</v>
      </c>
      <c r="J85" s="307">
        <v>11190</v>
      </c>
      <c r="K85" s="307">
        <v>11710</v>
      </c>
      <c r="L85" s="307">
        <v>12030</v>
      </c>
      <c r="M85" s="307">
        <v>13380</v>
      </c>
      <c r="N85" s="307">
        <v>14430</v>
      </c>
      <c r="O85" s="307">
        <v>14610</v>
      </c>
      <c r="P85" s="307">
        <v>13220</v>
      </c>
      <c r="Q85" s="307">
        <v>14960</v>
      </c>
      <c r="R85" s="307">
        <v>15540</v>
      </c>
      <c r="S85" s="307">
        <v>16380</v>
      </c>
      <c r="T85" s="307">
        <v>19400</v>
      </c>
      <c r="U85" s="307">
        <v>19270</v>
      </c>
      <c r="V85" s="307">
        <v>19300</v>
      </c>
      <c r="W85" s="307">
        <v>19560</v>
      </c>
      <c r="X85" s="307">
        <v>19580</v>
      </c>
      <c r="Y85" s="307">
        <v>20050</v>
      </c>
      <c r="Z85" s="307">
        <v>20300</v>
      </c>
      <c r="AA85" s="307">
        <v>20980</v>
      </c>
      <c r="AB85" s="307">
        <v>21520</v>
      </c>
      <c r="AC85" s="307">
        <v>22500</v>
      </c>
      <c r="AD85" s="307">
        <v>23030</v>
      </c>
      <c r="AE85" s="307">
        <v>23200</v>
      </c>
      <c r="AF85" s="307">
        <v>24410</v>
      </c>
      <c r="AG85" s="307">
        <v>24810</v>
      </c>
      <c r="AH85" s="307">
        <v>25690</v>
      </c>
      <c r="AI85" s="307">
        <v>26200</v>
      </c>
      <c r="AJ85" s="307">
        <v>26120</v>
      </c>
      <c r="AK85" s="307">
        <v>25910</v>
      </c>
      <c r="AL85" s="307">
        <v>25050</v>
      </c>
      <c r="AM85" s="307">
        <v>24820</v>
      </c>
      <c r="AN85" s="307">
        <v>24530</v>
      </c>
      <c r="AO85" s="307">
        <v>24730</v>
      </c>
      <c r="AP85" s="307">
        <v>25140</v>
      </c>
      <c r="AQ85" s="307">
        <v>24900</v>
      </c>
      <c r="AR85" s="307">
        <v>25400</v>
      </c>
      <c r="AS85" s="307">
        <v>25130</v>
      </c>
      <c r="AT85" s="307">
        <v>24090</v>
      </c>
      <c r="AU85" s="307">
        <v>23160</v>
      </c>
      <c r="AV85" s="307">
        <v>22520</v>
      </c>
      <c r="AW85" s="307">
        <v>21970</v>
      </c>
      <c r="AX85" s="307">
        <v>22000</v>
      </c>
      <c r="AY85" s="307">
        <v>21830</v>
      </c>
      <c r="AZ85" s="307">
        <v>22610</v>
      </c>
      <c r="BA85" s="307">
        <v>23420</v>
      </c>
      <c r="BB85" s="307">
        <v>24310</v>
      </c>
      <c r="BC85" s="307">
        <v>25280</v>
      </c>
      <c r="BD85" s="307">
        <v>26460</v>
      </c>
      <c r="BE85" s="307">
        <v>26910</v>
      </c>
      <c r="BF85" s="307">
        <v>27500</v>
      </c>
    </row>
    <row r="86" spans="1:58" x14ac:dyDescent="0.2">
      <c r="A86" s="308" t="s">
        <v>82</v>
      </c>
      <c r="B86" s="305"/>
      <c r="C86" s="307">
        <v>9480</v>
      </c>
      <c r="D86" s="307">
        <v>9630</v>
      </c>
      <c r="E86" s="307">
        <v>10010</v>
      </c>
      <c r="F86" s="307">
        <v>9740</v>
      </c>
      <c r="G86" s="307">
        <v>9540</v>
      </c>
      <c r="H86" s="307">
        <v>9710</v>
      </c>
      <c r="I86" s="307">
        <v>10050</v>
      </c>
      <c r="J86" s="307">
        <v>10270</v>
      </c>
      <c r="K86" s="307">
        <v>10810</v>
      </c>
      <c r="L86" s="307">
        <v>11320</v>
      </c>
      <c r="M86" s="307">
        <v>11640</v>
      </c>
      <c r="N86" s="307">
        <v>12960</v>
      </c>
      <c r="O86" s="307">
        <v>13980</v>
      </c>
      <c r="P86" s="307">
        <v>14170</v>
      </c>
      <c r="Q86" s="307">
        <v>12820</v>
      </c>
      <c r="R86" s="307">
        <v>14530</v>
      </c>
      <c r="S86" s="307">
        <v>15100</v>
      </c>
      <c r="T86" s="307">
        <v>15930</v>
      </c>
      <c r="U86" s="307">
        <v>18870</v>
      </c>
      <c r="V86" s="307">
        <v>18760</v>
      </c>
      <c r="W86" s="307">
        <v>18800</v>
      </c>
      <c r="X86" s="307">
        <v>19070</v>
      </c>
      <c r="Y86" s="307">
        <v>19100</v>
      </c>
      <c r="Z86" s="307">
        <v>19570</v>
      </c>
      <c r="AA86" s="307">
        <v>19820</v>
      </c>
      <c r="AB86" s="307">
        <v>20500</v>
      </c>
      <c r="AC86" s="307">
        <v>21040</v>
      </c>
      <c r="AD86" s="307">
        <v>22010</v>
      </c>
      <c r="AE86" s="307">
        <v>22540</v>
      </c>
      <c r="AF86" s="307">
        <v>22720</v>
      </c>
      <c r="AG86" s="307">
        <v>23910</v>
      </c>
      <c r="AH86" s="307">
        <v>24320</v>
      </c>
      <c r="AI86" s="307">
        <v>25200</v>
      </c>
      <c r="AJ86" s="307">
        <v>25710</v>
      </c>
      <c r="AK86" s="307">
        <v>25640</v>
      </c>
      <c r="AL86" s="307">
        <v>25440</v>
      </c>
      <c r="AM86" s="307">
        <v>24610</v>
      </c>
      <c r="AN86" s="307">
        <v>24400</v>
      </c>
      <c r="AO86" s="307">
        <v>24120</v>
      </c>
      <c r="AP86" s="307">
        <v>24320</v>
      </c>
      <c r="AQ86" s="307">
        <v>24740</v>
      </c>
      <c r="AR86" s="307">
        <v>24510</v>
      </c>
      <c r="AS86" s="307">
        <v>25010</v>
      </c>
      <c r="AT86" s="307">
        <v>24760</v>
      </c>
      <c r="AU86" s="307">
        <v>23740</v>
      </c>
      <c r="AV86" s="307">
        <v>22830</v>
      </c>
      <c r="AW86" s="307">
        <v>22220</v>
      </c>
      <c r="AX86" s="307">
        <v>21680</v>
      </c>
      <c r="AY86" s="307">
        <v>21710</v>
      </c>
      <c r="AZ86" s="307">
        <v>21550</v>
      </c>
      <c r="BA86" s="307">
        <v>22330</v>
      </c>
      <c r="BB86" s="307">
        <v>23140</v>
      </c>
      <c r="BC86" s="307">
        <v>24020</v>
      </c>
      <c r="BD86" s="307">
        <v>24990</v>
      </c>
      <c r="BE86" s="307">
        <v>26170</v>
      </c>
      <c r="BF86" s="307">
        <v>26610</v>
      </c>
    </row>
    <row r="87" spans="1:58" x14ac:dyDescent="0.2">
      <c r="A87" s="308" t="s">
        <v>83</v>
      </c>
      <c r="B87" s="305"/>
      <c r="C87" s="307">
        <v>9060</v>
      </c>
      <c r="D87" s="307">
        <v>9070</v>
      </c>
      <c r="E87" s="307">
        <v>9200</v>
      </c>
      <c r="F87" s="307">
        <v>9560</v>
      </c>
      <c r="G87" s="307">
        <v>9400</v>
      </c>
      <c r="H87" s="307">
        <v>9090</v>
      </c>
      <c r="I87" s="307">
        <v>9310</v>
      </c>
      <c r="J87" s="307">
        <v>9660</v>
      </c>
      <c r="K87" s="307">
        <v>9870</v>
      </c>
      <c r="L87" s="307">
        <v>10410</v>
      </c>
      <c r="M87" s="307">
        <v>10910</v>
      </c>
      <c r="N87" s="307">
        <v>11220</v>
      </c>
      <c r="O87" s="307">
        <v>12500</v>
      </c>
      <c r="P87" s="307">
        <v>13500</v>
      </c>
      <c r="Q87" s="307">
        <v>13690</v>
      </c>
      <c r="R87" s="307">
        <v>12400</v>
      </c>
      <c r="S87" s="307">
        <v>14060</v>
      </c>
      <c r="T87" s="307">
        <v>14620</v>
      </c>
      <c r="U87" s="307">
        <v>15440</v>
      </c>
      <c r="V87" s="307">
        <v>18300</v>
      </c>
      <c r="W87" s="307">
        <v>18210</v>
      </c>
      <c r="X87" s="307">
        <v>18260</v>
      </c>
      <c r="Y87" s="307">
        <v>18530</v>
      </c>
      <c r="Z87" s="307">
        <v>18570</v>
      </c>
      <c r="AA87" s="307">
        <v>19040</v>
      </c>
      <c r="AB87" s="307">
        <v>19300</v>
      </c>
      <c r="AC87" s="307">
        <v>19970</v>
      </c>
      <c r="AD87" s="307">
        <v>20510</v>
      </c>
      <c r="AE87" s="307">
        <v>21470</v>
      </c>
      <c r="AF87" s="307">
        <v>22000</v>
      </c>
      <c r="AG87" s="307">
        <v>22190</v>
      </c>
      <c r="AH87" s="307">
        <v>23370</v>
      </c>
      <c r="AI87" s="307">
        <v>23780</v>
      </c>
      <c r="AJ87" s="307">
        <v>24650</v>
      </c>
      <c r="AK87" s="307">
        <v>25160</v>
      </c>
      <c r="AL87" s="307">
        <v>25110</v>
      </c>
      <c r="AM87" s="307">
        <v>24920</v>
      </c>
      <c r="AN87" s="307">
        <v>24130</v>
      </c>
      <c r="AO87" s="307">
        <v>23920</v>
      </c>
      <c r="AP87" s="307">
        <v>23660</v>
      </c>
      <c r="AQ87" s="307">
        <v>23870</v>
      </c>
      <c r="AR87" s="307">
        <v>24300</v>
      </c>
      <c r="AS87" s="307">
        <v>24080</v>
      </c>
      <c r="AT87" s="307">
        <v>24580</v>
      </c>
      <c r="AU87" s="307">
        <v>24340</v>
      </c>
      <c r="AV87" s="307">
        <v>23350</v>
      </c>
      <c r="AW87" s="307">
        <v>22470</v>
      </c>
      <c r="AX87" s="307">
        <v>21870</v>
      </c>
      <c r="AY87" s="307">
        <v>21350</v>
      </c>
      <c r="AZ87" s="307">
        <v>21390</v>
      </c>
      <c r="BA87" s="307">
        <v>21240</v>
      </c>
      <c r="BB87" s="307">
        <v>22010</v>
      </c>
      <c r="BC87" s="307">
        <v>22820</v>
      </c>
      <c r="BD87" s="307">
        <v>23700</v>
      </c>
      <c r="BE87" s="307">
        <v>24650</v>
      </c>
      <c r="BF87" s="307">
        <v>25830</v>
      </c>
    </row>
    <row r="88" spans="1:58" x14ac:dyDescent="0.2">
      <c r="A88" s="308" t="s">
        <v>84</v>
      </c>
      <c r="B88" s="305"/>
      <c r="C88" s="307">
        <v>8220</v>
      </c>
      <c r="D88" s="307">
        <v>8570</v>
      </c>
      <c r="E88" s="307">
        <v>8640</v>
      </c>
      <c r="F88" s="307">
        <v>8730</v>
      </c>
      <c r="G88" s="307">
        <v>9140</v>
      </c>
      <c r="H88" s="307">
        <v>8980</v>
      </c>
      <c r="I88" s="307">
        <v>8680</v>
      </c>
      <c r="J88" s="307">
        <v>8900</v>
      </c>
      <c r="K88" s="307">
        <v>9240</v>
      </c>
      <c r="L88" s="307">
        <v>9450</v>
      </c>
      <c r="M88" s="307">
        <v>9970</v>
      </c>
      <c r="N88" s="307">
        <v>10460</v>
      </c>
      <c r="O88" s="307">
        <v>10770</v>
      </c>
      <c r="P88" s="307">
        <v>12010</v>
      </c>
      <c r="Q88" s="307">
        <v>12980</v>
      </c>
      <c r="R88" s="307">
        <v>13180</v>
      </c>
      <c r="S88" s="307">
        <v>11950</v>
      </c>
      <c r="T88" s="307">
        <v>13550</v>
      </c>
      <c r="U88" s="307">
        <v>14110</v>
      </c>
      <c r="V88" s="307">
        <v>14910</v>
      </c>
      <c r="W88" s="307">
        <v>17690</v>
      </c>
      <c r="X88" s="307">
        <v>17610</v>
      </c>
      <c r="Y88" s="307">
        <v>17670</v>
      </c>
      <c r="Z88" s="307">
        <v>17950</v>
      </c>
      <c r="AA88" s="307">
        <v>18000</v>
      </c>
      <c r="AB88" s="307">
        <v>18470</v>
      </c>
      <c r="AC88" s="307">
        <v>18730</v>
      </c>
      <c r="AD88" s="307">
        <v>19390</v>
      </c>
      <c r="AE88" s="307">
        <v>19930</v>
      </c>
      <c r="AF88" s="307">
        <v>20880</v>
      </c>
      <c r="AG88" s="307">
        <v>21410</v>
      </c>
      <c r="AH88" s="307">
        <v>21600</v>
      </c>
      <c r="AI88" s="307">
        <v>22760</v>
      </c>
      <c r="AJ88" s="307">
        <v>23170</v>
      </c>
      <c r="AK88" s="307">
        <v>24040</v>
      </c>
      <c r="AL88" s="307">
        <v>24550</v>
      </c>
      <c r="AM88" s="307">
        <v>24510</v>
      </c>
      <c r="AN88" s="307">
        <v>24350</v>
      </c>
      <c r="AO88" s="307">
        <v>23580</v>
      </c>
      <c r="AP88" s="307">
        <v>23390</v>
      </c>
      <c r="AQ88" s="307">
        <v>23150</v>
      </c>
      <c r="AR88" s="307">
        <v>23370</v>
      </c>
      <c r="AS88" s="307">
        <v>23790</v>
      </c>
      <c r="AT88" s="307">
        <v>23590</v>
      </c>
      <c r="AU88" s="307">
        <v>24090</v>
      </c>
      <c r="AV88" s="307">
        <v>23870</v>
      </c>
      <c r="AW88" s="307">
        <v>22910</v>
      </c>
      <c r="AX88" s="307">
        <v>22050</v>
      </c>
      <c r="AY88" s="307">
        <v>21470</v>
      </c>
      <c r="AZ88" s="307">
        <v>20970</v>
      </c>
      <c r="BA88" s="307">
        <v>21020</v>
      </c>
      <c r="BB88" s="307">
        <v>20880</v>
      </c>
      <c r="BC88" s="307">
        <v>21650</v>
      </c>
      <c r="BD88" s="307">
        <v>22450</v>
      </c>
      <c r="BE88" s="307">
        <v>23320</v>
      </c>
      <c r="BF88" s="307">
        <v>24270</v>
      </c>
    </row>
    <row r="89" spans="1:58" x14ac:dyDescent="0.2">
      <c r="A89" s="308" t="s">
        <v>85</v>
      </c>
      <c r="B89" s="305"/>
      <c r="C89" s="307">
        <v>7520</v>
      </c>
      <c r="D89" s="307">
        <v>7770</v>
      </c>
      <c r="E89" s="307">
        <v>8060</v>
      </c>
      <c r="F89" s="307">
        <v>8160</v>
      </c>
      <c r="G89" s="307">
        <v>8270</v>
      </c>
      <c r="H89" s="307">
        <v>8700</v>
      </c>
      <c r="I89" s="307">
        <v>8520</v>
      </c>
      <c r="J89" s="307">
        <v>8240</v>
      </c>
      <c r="K89" s="307">
        <v>8460</v>
      </c>
      <c r="L89" s="307">
        <v>8790</v>
      </c>
      <c r="M89" s="307">
        <v>9000</v>
      </c>
      <c r="N89" s="307">
        <v>9510</v>
      </c>
      <c r="O89" s="307">
        <v>9990</v>
      </c>
      <c r="P89" s="307">
        <v>10290</v>
      </c>
      <c r="Q89" s="307">
        <v>11490</v>
      </c>
      <c r="R89" s="307">
        <v>12420</v>
      </c>
      <c r="S89" s="307">
        <v>12630</v>
      </c>
      <c r="T89" s="307">
        <v>11460</v>
      </c>
      <c r="U89" s="307">
        <v>13010</v>
      </c>
      <c r="V89" s="307">
        <v>13560</v>
      </c>
      <c r="W89" s="307">
        <v>14330</v>
      </c>
      <c r="X89" s="307">
        <v>17020</v>
      </c>
      <c r="Y89" s="307">
        <v>16950</v>
      </c>
      <c r="Z89" s="307">
        <v>17030</v>
      </c>
      <c r="AA89" s="307">
        <v>17310</v>
      </c>
      <c r="AB89" s="307">
        <v>17370</v>
      </c>
      <c r="AC89" s="307">
        <v>17840</v>
      </c>
      <c r="AD89" s="307">
        <v>18110</v>
      </c>
      <c r="AE89" s="307">
        <v>18760</v>
      </c>
      <c r="AF89" s="307">
        <v>19300</v>
      </c>
      <c r="AG89" s="307">
        <v>20220</v>
      </c>
      <c r="AH89" s="307">
        <v>20750</v>
      </c>
      <c r="AI89" s="307">
        <v>20950</v>
      </c>
      <c r="AJ89" s="307">
        <v>22090</v>
      </c>
      <c r="AK89" s="307">
        <v>22510</v>
      </c>
      <c r="AL89" s="307">
        <v>23360</v>
      </c>
      <c r="AM89" s="307">
        <v>23870</v>
      </c>
      <c r="AN89" s="307">
        <v>23850</v>
      </c>
      <c r="AO89" s="307">
        <v>23700</v>
      </c>
      <c r="AP89" s="307">
        <v>22970</v>
      </c>
      <c r="AQ89" s="307">
        <v>22800</v>
      </c>
      <c r="AR89" s="307">
        <v>22580</v>
      </c>
      <c r="AS89" s="307">
        <v>22800</v>
      </c>
      <c r="AT89" s="307">
        <v>23220</v>
      </c>
      <c r="AU89" s="307">
        <v>23040</v>
      </c>
      <c r="AV89" s="307">
        <v>23540</v>
      </c>
      <c r="AW89" s="307">
        <v>23330</v>
      </c>
      <c r="AX89" s="307">
        <v>22410</v>
      </c>
      <c r="AY89" s="307">
        <v>21580</v>
      </c>
      <c r="AZ89" s="307">
        <v>21020</v>
      </c>
      <c r="BA89" s="307">
        <v>20540</v>
      </c>
      <c r="BB89" s="307">
        <v>20600</v>
      </c>
      <c r="BC89" s="307">
        <v>20470</v>
      </c>
      <c r="BD89" s="307">
        <v>21230</v>
      </c>
      <c r="BE89" s="307">
        <v>22030</v>
      </c>
      <c r="BF89" s="307">
        <v>22890</v>
      </c>
    </row>
    <row r="90" spans="1:58" x14ac:dyDescent="0.2">
      <c r="A90" s="308" t="s">
        <v>86</v>
      </c>
      <c r="B90" s="305"/>
      <c r="C90" s="307">
        <v>6900</v>
      </c>
      <c r="D90" s="307">
        <v>7020</v>
      </c>
      <c r="E90" s="307">
        <v>7250</v>
      </c>
      <c r="F90" s="307">
        <v>7570</v>
      </c>
      <c r="G90" s="307">
        <v>7690</v>
      </c>
      <c r="H90" s="307">
        <v>7840</v>
      </c>
      <c r="I90" s="307">
        <v>8200</v>
      </c>
      <c r="J90" s="307">
        <v>8040</v>
      </c>
      <c r="K90" s="307">
        <v>7790</v>
      </c>
      <c r="L90" s="307">
        <v>8000</v>
      </c>
      <c r="M90" s="307">
        <v>8320</v>
      </c>
      <c r="N90" s="307">
        <v>8530</v>
      </c>
      <c r="O90" s="307">
        <v>9020</v>
      </c>
      <c r="P90" s="307">
        <v>9480</v>
      </c>
      <c r="Q90" s="307">
        <v>9780</v>
      </c>
      <c r="R90" s="307">
        <v>10930</v>
      </c>
      <c r="S90" s="307">
        <v>11830</v>
      </c>
      <c r="T90" s="307">
        <v>12040</v>
      </c>
      <c r="U90" s="307">
        <v>10930</v>
      </c>
      <c r="V90" s="307">
        <v>12420</v>
      </c>
      <c r="W90" s="307">
        <v>12960</v>
      </c>
      <c r="X90" s="307">
        <v>13710</v>
      </c>
      <c r="Y90" s="307">
        <v>16290</v>
      </c>
      <c r="Z90" s="307">
        <v>16250</v>
      </c>
      <c r="AA90" s="307">
        <v>16330</v>
      </c>
      <c r="AB90" s="307">
        <v>16620</v>
      </c>
      <c r="AC90" s="307">
        <v>16690</v>
      </c>
      <c r="AD90" s="307">
        <v>17150</v>
      </c>
      <c r="AE90" s="307">
        <v>17420</v>
      </c>
      <c r="AF90" s="307">
        <v>18070</v>
      </c>
      <c r="AG90" s="307">
        <v>18590</v>
      </c>
      <c r="AH90" s="307">
        <v>19500</v>
      </c>
      <c r="AI90" s="307">
        <v>20030</v>
      </c>
      <c r="AJ90" s="307">
        <v>20230</v>
      </c>
      <c r="AK90" s="307">
        <v>21350</v>
      </c>
      <c r="AL90" s="307">
        <v>21760</v>
      </c>
      <c r="AM90" s="307">
        <v>22600</v>
      </c>
      <c r="AN90" s="307">
        <v>23110</v>
      </c>
      <c r="AO90" s="307">
        <v>23110</v>
      </c>
      <c r="AP90" s="307">
        <v>22980</v>
      </c>
      <c r="AQ90" s="307">
        <v>22280</v>
      </c>
      <c r="AR90" s="307">
        <v>22130</v>
      </c>
      <c r="AS90" s="307">
        <v>21930</v>
      </c>
      <c r="AT90" s="307">
        <v>22160</v>
      </c>
      <c r="AU90" s="307">
        <v>22580</v>
      </c>
      <c r="AV90" s="307">
        <v>22420</v>
      </c>
      <c r="AW90" s="307">
        <v>22920</v>
      </c>
      <c r="AX90" s="307">
        <v>22730</v>
      </c>
      <c r="AY90" s="307">
        <v>21830</v>
      </c>
      <c r="AZ90" s="307">
        <v>21040</v>
      </c>
      <c r="BA90" s="307">
        <v>20510</v>
      </c>
      <c r="BB90" s="307">
        <v>20050</v>
      </c>
      <c r="BC90" s="307">
        <v>20110</v>
      </c>
      <c r="BD90" s="307">
        <v>20000</v>
      </c>
      <c r="BE90" s="307">
        <v>20750</v>
      </c>
      <c r="BF90" s="307">
        <v>21540</v>
      </c>
    </row>
    <row r="91" spans="1:58" x14ac:dyDescent="0.2">
      <c r="A91" s="308" t="s">
        <v>87</v>
      </c>
      <c r="B91" s="305"/>
      <c r="C91" s="307">
        <v>5900</v>
      </c>
      <c r="D91" s="307">
        <v>6440</v>
      </c>
      <c r="E91" s="307">
        <v>6520</v>
      </c>
      <c r="F91" s="307">
        <v>6780</v>
      </c>
      <c r="G91" s="307">
        <v>7050</v>
      </c>
      <c r="H91" s="307">
        <v>7200</v>
      </c>
      <c r="I91" s="307">
        <v>7330</v>
      </c>
      <c r="J91" s="307">
        <v>7680</v>
      </c>
      <c r="K91" s="307">
        <v>7540</v>
      </c>
      <c r="L91" s="307">
        <v>7310</v>
      </c>
      <c r="M91" s="307">
        <v>7520</v>
      </c>
      <c r="N91" s="307">
        <v>7830</v>
      </c>
      <c r="O91" s="307">
        <v>8040</v>
      </c>
      <c r="P91" s="307">
        <v>8510</v>
      </c>
      <c r="Q91" s="307">
        <v>8950</v>
      </c>
      <c r="R91" s="307">
        <v>9240</v>
      </c>
      <c r="S91" s="307">
        <v>10340</v>
      </c>
      <c r="T91" s="307">
        <v>11200</v>
      </c>
      <c r="U91" s="307">
        <v>11400</v>
      </c>
      <c r="V91" s="307">
        <v>10370</v>
      </c>
      <c r="W91" s="307">
        <v>11790</v>
      </c>
      <c r="X91" s="307">
        <v>12310</v>
      </c>
      <c r="Y91" s="307">
        <v>13040</v>
      </c>
      <c r="Z91" s="307">
        <v>15510</v>
      </c>
      <c r="AA91" s="307">
        <v>15480</v>
      </c>
      <c r="AB91" s="307">
        <v>15570</v>
      </c>
      <c r="AC91" s="307">
        <v>15860</v>
      </c>
      <c r="AD91" s="307">
        <v>15950</v>
      </c>
      <c r="AE91" s="307">
        <v>16400</v>
      </c>
      <c r="AF91" s="307">
        <v>16670</v>
      </c>
      <c r="AG91" s="307">
        <v>17300</v>
      </c>
      <c r="AH91" s="307">
        <v>17820</v>
      </c>
      <c r="AI91" s="307">
        <v>18710</v>
      </c>
      <c r="AJ91" s="307">
        <v>19220</v>
      </c>
      <c r="AK91" s="307">
        <v>19440</v>
      </c>
      <c r="AL91" s="307">
        <v>20520</v>
      </c>
      <c r="AM91" s="307">
        <v>20940</v>
      </c>
      <c r="AN91" s="307">
        <v>21760</v>
      </c>
      <c r="AO91" s="307">
        <v>22270</v>
      </c>
      <c r="AP91" s="307">
        <v>22280</v>
      </c>
      <c r="AQ91" s="307">
        <v>22170</v>
      </c>
      <c r="AR91" s="307">
        <v>21510</v>
      </c>
      <c r="AS91" s="307">
        <v>21380</v>
      </c>
      <c r="AT91" s="307">
        <v>21200</v>
      </c>
      <c r="AU91" s="307">
        <v>21430</v>
      </c>
      <c r="AV91" s="307">
        <v>21860</v>
      </c>
      <c r="AW91" s="307">
        <v>21710</v>
      </c>
      <c r="AX91" s="307">
        <v>22210</v>
      </c>
      <c r="AY91" s="307">
        <v>22030</v>
      </c>
      <c r="AZ91" s="307">
        <v>21180</v>
      </c>
      <c r="BA91" s="307">
        <v>20420</v>
      </c>
      <c r="BB91" s="307">
        <v>19920</v>
      </c>
      <c r="BC91" s="307">
        <v>19480</v>
      </c>
      <c r="BD91" s="307">
        <v>19550</v>
      </c>
      <c r="BE91" s="307">
        <v>19450</v>
      </c>
      <c r="BF91" s="307">
        <v>20190</v>
      </c>
    </row>
    <row r="92" spans="1:58" x14ac:dyDescent="0.2">
      <c r="A92" s="308" t="s">
        <v>88</v>
      </c>
      <c r="B92" s="305"/>
      <c r="C92" s="307">
        <v>5210</v>
      </c>
      <c r="D92" s="307">
        <v>5470</v>
      </c>
      <c r="E92" s="307">
        <v>5890</v>
      </c>
      <c r="F92" s="307">
        <v>6030</v>
      </c>
      <c r="G92" s="307">
        <v>6290</v>
      </c>
      <c r="H92" s="307">
        <v>6510</v>
      </c>
      <c r="I92" s="307">
        <v>6670</v>
      </c>
      <c r="J92" s="307">
        <v>6810</v>
      </c>
      <c r="K92" s="307">
        <v>7140</v>
      </c>
      <c r="L92" s="307">
        <v>7010</v>
      </c>
      <c r="M92" s="307">
        <v>6810</v>
      </c>
      <c r="N92" s="307">
        <v>7010</v>
      </c>
      <c r="O92" s="307">
        <v>7310</v>
      </c>
      <c r="P92" s="307">
        <v>7510</v>
      </c>
      <c r="Q92" s="307">
        <v>7960</v>
      </c>
      <c r="R92" s="307">
        <v>8380</v>
      </c>
      <c r="S92" s="307">
        <v>8670</v>
      </c>
      <c r="T92" s="307">
        <v>9700</v>
      </c>
      <c r="U92" s="307">
        <v>10530</v>
      </c>
      <c r="V92" s="307">
        <v>10730</v>
      </c>
      <c r="W92" s="307">
        <v>9770</v>
      </c>
      <c r="X92" s="307">
        <v>11120</v>
      </c>
      <c r="Y92" s="307">
        <v>11620</v>
      </c>
      <c r="Z92" s="307">
        <v>12320</v>
      </c>
      <c r="AA92" s="307">
        <v>14670</v>
      </c>
      <c r="AB92" s="307">
        <v>14650</v>
      </c>
      <c r="AC92" s="307">
        <v>14750</v>
      </c>
      <c r="AD92" s="307">
        <v>15040</v>
      </c>
      <c r="AE92" s="307">
        <v>15130</v>
      </c>
      <c r="AF92" s="307">
        <v>15580</v>
      </c>
      <c r="AG92" s="307">
        <v>15850</v>
      </c>
      <c r="AH92" s="307">
        <v>16460</v>
      </c>
      <c r="AI92" s="307">
        <v>16970</v>
      </c>
      <c r="AJ92" s="307">
        <v>17830</v>
      </c>
      <c r="AK92" s="307">
        <v>18340</v>
      </c>
      <c r="AL92" s="307">
        <v>18560</v>
      </c>
      <c r="AM92" s="307">
        <v>19610</v>
      </c>
      <c r="AN92" s="307">
        <v>20020</v>
      </c>
      <c r="AO92" s="307">
        <v>20820</v>
      </c>
      <c r="AP92" s="307">
        <v>21330</v>
      </c>
      <c r="AQ92" s="307">
        <v>21350</v>
      </c>
      <c r="AR92" s="307">
        <v>21260</v>
      </c>
      <c r="AS92" s="307">
        <v>20640</v>
      </c>
      <c r="AT92" s="307">
        <v>20530</v>
      </c>
      <c r="AU92" s="307">
        <v>20370</v>
      </c>
      <c r="AV92" s="307">
        <v>20610</v>
      </c>
      <c r="AW92" s="307">
        <v>21030</v>
      </c>
      <c r="AX92" s="307">
        <v>20900</v>
      </c>
      <c r="AY92" s="307">
        <v>21400</v>
      </c>
      <c r="AZ92" s="307">
        <v>21240</v>
      </c>
      <c r="BA92" s="307">
        <v>20440</v>
      </c>
      <c r="BB92" s="307">
        <v>19710</v>
      </c>
      <c r="BC92" s="307">
        <v>19240</v>
      </c>
      <c r="BD92" s="307">
        <v>18830</v>
      </c>
      <c r="BE92" s="307">
        <v>18910</v>
      </c>
      <c r="BF92" s="307">
        <v>18820</v>
      </c>
    </row>
    <row r="93" spans="1:58" x14ac:dyDescent="0.2">
      <c r="A93" s="308" t="s">
        <v>89</v>
      </c>
      <c r="B93" s="305"/>
      <c r="C93" s="307">
        <v>4650</v>
      </c>
      <c r="D93" s="307">
        <v>4740</v>
      </c>
      <c r="E93" s="307">
        <v>5000</v>
      </c>
      <c r="F93" s="307">
        <v>5390</v>
      </c>
      <c r="G93" s="307">
        <v>5500</v>
      </c>
      <c r="H93" s="307">
        <v>5790</v>
      </c>
      <c r="I93" s="307">
        <v>5980</v>
      </c>
      <c r="J93" s="307">
        <v>6130</v>
      </c>
      <c r="K93" s="307">
        <v>6260</v>
      </c>
      <c r="L93" s="307">
        <v>6580</v>
      </c>
      <c r="M93" s="307">
        <v>6470</v>
      </c>
      <c r="N93" s="307">
        <v>6290</v>
      </c>
      <c r="O93" s="307">
        <v>6490</v>
      </c>
      <c r="P93" s="307">
        <v>6770</v>
      </c>
      <c r="Q93" s="307">
        <v>6960</v>
      </c>
      <c r="R93" s="307">
        <v>7390</v>
      </c>
      <c r="S93" s="307">
        <v>7790</v>
      </c>
      <c r="T93" s="307">
        <v>8070</v>
      </c>
      <c r="U93" s="307">
        <v>9040</v>
      </c>
      <c r="V93" s="307">
        <v>9810</v>
      </c>
      <c r="W93" s="307">
        <v>10010</v>
      </c>
      <c r="X93" s="307">
        <v>9130</v>
      </c>
      <c r="Y93" s="307">
        <v>10400</v>
      </c>
      <c r="Z93" s="307">
        <v>10880</v>
      </c>
      <c r="AA93" s="307">
        <v>11550</v>
      </c>
      <c r="AB93" s="307">
        <v>13760</v>
      </c>
      <c r="AC93" s="307">
        <v>13760</v>
      </c>
      <c r="AD93" s="307">
        <v>13870</v>
      </c>
      <c r="AE93" s="307">
        <v>14150</v>
      </c>
      <c r="AF93" s="307">
        <v>14250</v>
      </c>
      <c r="AG93" s="307">
        <v>14680</v>
      </c>
      <c r="AH93" s="307">
        <v>14960</v>
      </c>
      <c r="AI93" s="307">
        <v>15550</v>
      </c>
      <c r="AJ93" s="307">
        <v>16040</v>
      </c>
      <c r="AK93" s="307">
        <v>16870</v>
      </c>
      <c r="AL93" s="307">
        <v>17360</v>
      </c>
      <c r="AM93" s="307">
        <v>17590</v>
      </c>
      <c r="AN93" s="307">
        <v>18600</v>
      </c>
      <c r="AO93" s="307">
        <v>19000</v>
      </c>
      <c r="AP93" s="307">
        <v>19780</v>
      </c>
      <c r="AQ93" s="307">
        <v>20280</v>
      </c>
      <c r="AR93" s="307">
        <v>20310</v>
      </c>
      <c r="AS93" s="307">
        <v>20240</v>
      </c>
      <c r="AT93" s="307">
        <v>19670</v>
      </c>
      <c r="AU93" s="307">
        <v>19580</v>
      </c>
      <c r="AV93" s="307">
        <v>19440</v>
      </c>
      <c r="AW93" s="307">
        <v>19680</v>
      </c>
      <c r="AX93" s="307">
        <v>20100</v>
      </c>
      <c r="AY93" s="307">
        <v>19990</v>
      </c>
      <c r="AZ93" s="307">
        <v>20480</v>
      </c>
      <c r="BA93" s="307">
        <v>20350</v>
      </c>
      <c r="BB93" s="307">
        <v>19590</v>
      </c>
      <c r="BC93" s="307">
        <v>18910</v>
      </c>
      <c r="BD93" s="307">
        <v>18460</v>
      </c>
      <c r="BE93" s="307">
        <v>18080</v>
      </c>
      <c r="BF93" s="307">
        <v>18170</v>
      </c>
    </row>
    <row r="94" spans="1:58" x14ac:dyDescent="0.2">
      <c r="A94" s="308" t="s">
        <v>90</v>
      </c>
      <c r="B94" s="305"/>
      <c r="C94" s="307">
        <v>3850</v>
      </c>
      <c r="D94" s="307">
        <v>4160</v>
      </c>
      <c r="E94" s="307">
        <v>4290</v>
      </c>
      <c r="F94" s="307">
        <v>4520</v>
      </c>
      <c r="G94" s="307">
        <v>4880</v>
      </c>
      <c r="H94" s="307">
        <v>4980</v>
      </c>
      <c r="I94" s="307">
        <v>5260</v>
      </c>
      <c r="J94" s="307">
        <v>5430</v>
      </c>
      <c r="K94" s="307">
        <v>5580</v>
      </c>
      <c r="L94" s="307">
        <v>5710</v>
      </c>
      <c r="M94" s="307">
        <v>6000</v>
      </c>
      <c r="N94" s="307">
        <v>5910</v>
      </c>
      <c r="O94" s="307">
        <v>5750</v>
      </c>
      <c r="P94" s="307">
        <v>5940</v>
      </c>
      <c r="Q94" s="307">
        <v>6210</v>
      </c>
      <c r="R94" s="307">
        <v>6400</v>
      </c>
      <c r="S94" s="307">
        <v>6790</v>
      </c>
      <c r="T94" s="307">
        <v>7170</v>
      </c>
      <c r="U94" s="307">
        <v>7430</v>
      </c>
      <c r="V94" s="307">
        <v>8340</v>
      </c>
      <c r="W94" s="307">
        <v>9060</v>
      </c>
      <c r="X94" s="307">
        <v>9260</v>
      </c>
      <c r="Y94" s="307">
        <v>8450</v>
      </c>
      <c r="Z94" s="307">
        <v>9640</v>
      </c>
      <c r="AA94" s="307">
        <v>10090</v>
      </c>
      <c r="AB94" s="307">
        <v>10720</v>
      </c>
      <c r="AC94" s="307">
        <v>12790</v>
      </c>
      <c r="AD94" s="307">
        <v>12800</v>
      </c>
      <c r="AE94" s="307">
        <v>12920</v>
      </c>
      <c r="AF94" s="307">
        <v>13200</v>
      </c>
      <c r="AG94" s="307">
        <v>13300</v>
      </c>
      <c r="AH94" s="307">
        <v>13720</v>
      </c>
      <c r="AI94" s="307">
        <v>13990</v>
      </c>
      <c r="AJ94" s="307">
        <v>14560</v>
      </c>
      <c r="AK94" s="307">
        <v>15030</v>
      </c>
      <c r="AL94" s="307">
        <v>15820</v>
      </c>
      <c r="AM94" s="307">
        <v>16300</v>
      </c>
      <c r="AN94" s="307">
        <v>16530</v>
      </c>
      <c r="AO94" s="307">
        <v>17490</v>
      </c>
      <c r="AP94" s="307">
        <v>17890</v>
      </c>
      <c r="AQ94" s="307">
        <v>18630</v>
      </c>
      <c r="AR94" s="307">
        <v>19120</v>
      </c>
      <c r="AS94" s="307">
        <v>19170</v>
      </c>
      <c r="AT94" s="307">
        <v>19120</v>
      </c>
      <c r="AU94" s="307">
        <v>18590</v>
      </c>
      <c r="AV94" s="307">
        <v>18520</v>
      </c>
      <c r="AW94" s="307">
        <v>18410</v>
      </c>
      <c r="AX94" s="307">
        <v>18650</v>
      </c>
      <c r="AY94" s="307">
        <v>19060</v>
      </c>
      <c r="AZ94" s="307">
        <v>18970</v>
      </c>
      <c r="BA94" s="307">
        <v>19450</v>
      </c>
      <c r="BB94" s="307">
        <v>19340</v>
      </c>
      <c r="BC94" s="307">
        <v>18630</v>
      </c>
      <c r="BD94" s="307">
        <v>17990</v>
      </c>
      <c r="BE94" s="307">
        <v>17580</v>
      </c>
      <c r="BF94" s="307">
        <v>17230</v>
      </c>
    </row>
    <row r="95" spans="1:58" x14ac:dyDescent="0.2">
      <c r="A95" s="308" t="s">
        <v>91</v>
      </c>
      <c r="B95" s="305"/>
      <c r="C95" s="307">
        <v>3290</v>
      </c>
      <c r="D95" s="307">
        <v>3440</v>
      </c>
      <c r="E95" s="307">
        <v>3690</v>
      </c>
      <c r="F95" s="307">
        <v>3840</v>
      </c>
      <c r="G95" s="307">
        <v>4070</v>
      </c>
      <c r="H95" s="307">
        <v>4410</v>
      </c>
      <c r="I95" s="307">
        <v>4470</v>
      </c>
      <c r="J95" s="307">
        <v>4720</v>
      </c>
      <c r="K95" s="307">
        <v>4880</v>
      </c>
      <c r="L95" s="307">
        <v>5020</v>
      </c>
      <c r="M95" s="307">
        <v>5140</v>
      </c>
      <c r="N95" s="307">
        <v>5420</v>
      </c>
      <c r="O95" s="307">
        <v>5340</v>
      </c>
      <c r="P95" s="307">
        <v>5210</v>
      </c>
      <c r="Q95" s="307">
        <v>5380</v>
      </c>
      <c r="R95" s="307">
        <v>5630</v>
      </c>
      <c r="S95" s="307">
        <v>5810</v>
      </c>
      <c r="T95" s="307">
        <v>6180</v>
      </c>
      <c r="U95" s="307">
        <v>6530</v>
      </c>
      <c r="V95" s="307">
        <v>6780</v>
      </c>
      <c r="W95" s="307">
        <v>7610</v>
      </c>
      <c r="X95" s="307">
        <v>8280</v>
      </c>
      <c r="Y95" s="307">
        <v>8470</v>
      </c>
      <c r="Z95" s="307">
        <v>7740</v>
      </c>
      <c r="AA95" s="307">
        <v>8840</v>
      </c>
      <c r="AB95" s="307">
        <v>9270</v>
      </c>
      <c r="AC95" s="307">
        <v>9860</v>
      </c>
      <c r="AD95" s="307">
        <v>11770</v>
      </c>
      <c r="AE95" s="307">
        <v>11790</v>
      </c>
      <c r="AF95" s="307">
        <v>11910</v>
      </c>
      <c r="AG95" s="307">
        <v>12180</v>
      </c>
      <c r="AH95" s="307">
        <v>12290</v>
      </c>
      <c r="AI95" s="307">
        <v>12690</v>
      </c>
      <c r="AJ95" s="307">
        <v>12950</v>
      </c>
      <c r="AK95" s="307">
        <v>13490</v>
      </c>
      <c r="AL95" s="307">
        <v>13950</v>
      </c>
      <c r="AM95" s="307">
        <v>14690</v>
      </c>
      <c r="AN95" s="307">
        <v>15150</v>
      </c>
      <c r="AO95" s="307">
        <v>15370</v>
      </c>
      <c r="AP95" s="307">
        <v>16290</v>
      </c>
      <c r="AQ95" s="307">
        <v>16670</v>
      </c>
      <c r="AR95" s="307">
        <v>17380</v>
      </c>
      <c r="AS95" s="307">
        <v>17850</v>
      </c>
      <c r="AT95" s="307">
        <v>17910</v>
      </c>
      <c r="AU95" s="307">
        <v>17880</v>
      </c>
      <c r="AV95" s="307">
        <v>17410</v>
      </c>
      <c r="AW95" s="307">
        <v>17360</v>
      </c>
      <c r="AX95" s="307">
        <v>17260</v>
      </c>
      <c r="AY95" s="307">
        <v>17500</v>
      </c>
      <c r="AZ95" s="307">
        <v>17910</v>
      </c>
      <c r="BA95" s="307">
        <v>17840</v>
      </c>
      <c r="BB95" s="307">
        <v>18300</v>
      </c>
      <c r="BC95" s="307">
        <v>18210</v>
      </c>
      <c r="BD95" s="307">
        <v>17550</v>
      </c>
      <c r="BE95" s="307">
        <v>16970</v>
      </c>
      <c r="BF95" s="307">
        <v>16590</v>
      </c>
    </row>
    <row r="96" spans="1:58" x14ac:dyDescent="0.2">
      <c r="A96" s="308" t="s">
        <v>92</v>
      </c>
      <c r="B96" s="305"/>
      <c r="C96" s="307">
        <v>2380</v>
      </c>
      <c r="D96" s="307">
        <v>2870</v>
      </c>
      <c r="E96" s="307">
        <v>3020</v>
      </c>
      <c r="F96" s="307">
        <v>3270</v>
      </c>
      <c r="G96" s="307">
        <v>3410</v>
      </c>
      <c r="H96" s="307">
        <v>3620</v>
      </c>
      <c r="I96" s="307">
        <v>3900</v>
      </c>
      <c r="J96" s="307">
        <v>3960</v>
      </c>
      <c r="K96" s="307">
        <v>4180</v>
      </c>
      <c r="L96" s="307">
        <v>4340</v>
      </c>
      <c r="M96" s="307">
        <v>4470</v>
      </c>
      <c r="N96" s="307">
        <v>4580</v>
      </c>
      <c r="O96" s="307">
        <v>4830</v>
      </c>
      <c r="P96" s="307">
        <v>4770</v>
      </c>
      <c r="Q96" s="307">
        <v>4660</v>
      </c>
      <c r="R96" s="307">
        <v>4820</v>
      </c>
      <c r="S96" s="307">
        <v>5050</v>
      </c>
      <c r="T96" s="307">
        <v>5220</v>
      </c>
      <c r="U96" s="307">
        <v>5550</v>
      </c>
      <c r="V96" s="307">
        <v>5880</v>
      </c>
      <c r="W96" s="307">
        <v>6110</v>
      </c>
      <c r="X96" s="307">
        <v>6870</v>
      </c>
      <c r="Y96" s="307">
        <v>7480</v>
      </c>
      <c r="Z96" s="307">
        <v>7660</v>
      </c>
      <c r="AA96" s="307">
        <v>7010</v>
      </c>
      <c r="AB96" s="307">
        <v>8010</v>
      </c>
      <c r="AC96" s="307">
        <v>8410</v>
      </c>
      <c r="AD96" s="307">
        <v>8950</v>
      </c>
      <c r="AE96" s="307">
        <v>10700</v>
      </c>
      <c r="AF96" s="307">
        <v>10740</v>
      </c>
      <c r="AG96" s="307">
        <v>10860</v>
      </c>
      <c r="AH96" s="307">
        <v>11110</v>
      </c>
      <c r="AI96" s="307">
        <v>11230</v>
      </c>
      <c r="AJ96" s="307">
        <v>11600</v>
      </c>
      <c r="AK96" s="307">
        <v>11860</v>
      </c>
      <c r="AL96" s="307">
        <v>12360</v>
      </c>
      <c r="AM96" s="307">
        <v>12790</v>
      </c>
      <c r="AN96" s="307">
        <v>13490</v>
      </c>
      <c r="AO96" s="307">
        <v>13920</v>
      </c>
      <c r="AP96" s="307">
        <v>14140</v>
      </c>
      <c r="AQ96" s="307">
        <v>15000</v>
      </c>
      <c r="AR96" s="307">
        <v>15370</v>
      </c>
      <c r="AS96" s="307">
        <v>16040</v>
      </c>
      <c r="AT96" s="307">
        <v>16480</v>
      </c>
      <c r="AU96" s="307">
        <v>16560</v>
      </c>
      <c r="AV96" s="307">
        <v>16550</v>
      </c>
      <c r="AW96" s="307">
        <v>16120</v>
      </c>
      <c r="AX96" s="307">
        <v>16090</v>
      </c>
      <c r="AY96" s="307">
        <v>16010</v>
      </c>
      <c r="AZ96" s="307">
        <v>16250</v>
      </c>
      <c r="BA96" s="307">
        <v>16640</v>
      </c>
      <c r="BB96" s="307">
        <v>16590</v>
      </c>
      <c r="BC96" s="307">
        <v>17030</v>
      </c>
      <c r="BD96" s="307">
        <v>16960</v>
      </c>
      <c r="BE96" s="307">
        <v>16360</v>
      </c>
      <c r="BF96" s="307">
        <v>15830</v>
      </c>
    </row>
    <row r="97" spans="1:58" x14ac:dyDescent="0.2">
      <c r="A97" s="308" t="s">
        <v>93</v>
      </c>
      <c r="B97" s="305"/>
      <c r="C97" s="307">
        <v>1930</v>
      </c>
      <c r="D97" s="307">
        <v>2040</v>
      </c>
      <c r="E97" s="307">
        <v>2500</v>
      </c>
      <c r="F97" s="307">
        <v>2640</v>
      </c>
      <c r="G97" s="307">
        <v>2870</v>
      </c>
      <c r="H97" s="307">
        <v>3020</v>
      </c>
      <c r="I97" s="307">
        <v>3150</v>
      </c>
      <c r="J97" s="307">
        <v>3400</v>
      </c>
      <c r="K97" s="307">
        <v>3460</v>
      </c>
      <c r="L97" s="307">
        <v>3660</v>
      </c>
      <c r="M97" s="307">
        <v>3800</v>
      </c>
      <c r="N97" s="307">
        <v>3920</v>
      </c>
      <c r="O97" s="307">
        <v>4030</v>
      </c>
      <c r="P97" s="307">
        <v>4250</v>
      </c>
      <c r="Q97" s="307">
        <v>4200</v>
      </c>
      <c r="R97" s="307">
        <v>4110</v>
      </c>
      <c r="S97" s="307">
        <v>4260</v>
      </c>
      <c r="T97" s="307">
        <v>4470</v>
      </c>
      <c r="U97" s="307">
        <v>4620</v>
      </c>
      <c r="V97" s="307">
        <v>4930</v>
      </c>
      <c r="W97" s="307">
        <v>5220</v>
      </c>
      <c r="X97" s="307">
        <v>5430</v>
      </c>
      <c r="Y97" s="307">
        <v>6110</v>
      </c>
      <c r="Z97" s="307">
        <v>6670</v>
      </c>
      <c r="AA97" s="307">
        <v>6840</v>
      </c>
      <c r="AB97" s="307">
        <v>6260</v>
      </c>
      <c r="AC97" s="307">
        <v>7170</v>
      </c>
      <c r="AD97" s="307">
        <v>7530</v>
      </c>
      <c r="AE97" s="307">
        <v>8030</v>
      </c>
      <c r="AF97" s="307">
        <v>9610</v>
      </c>
      <c r="AG97" s="307">
        <v>9650</v>
      </c>
      <c r="AH97" s="307">
        <v>9770</v>
      </c>
      <c r="AI97" s="307">
        <v>10010</v>
      </c>
      <c r="AJ97" s="307">
        <v>10130</v>
      </c>
      <c r="AK97" s="307">
        <v>10470</v>
      </c>
      <c r="AL97" s="307">
        <v>10710</v>
      </c>
      <c r="AM97" s="307">
        <v>11180</v>
      </c>
      <c r="AN97" s="307">
        <v>11580</v>
      </c>
      <c r="AO97" s="307">
        <v>12230</v>
      </c>
      <c r="AP97" s="307">
        <v>12640</v>
      </c>
      <c r="AQ97" s="307">
        <v>12850</v>
      </c>
      <c r="AR97" s="307">
        <v>13640</v>
      </c>
      <c r="AS97" s="307">
        <v>13990</v>
      </c>
      <c r="AT97" s="307">
        <v>14610</v>
      </c>
      <c r="AU97" s="307">
        <v>15030</v>
      </c>
      <c r="AV97" s="307">
        <v>15120</v>
      </c>
      <c r="AW97" s="307">
        <v>15120</v>
      </c>
      <c r="AX97" s="307">
        <v>14740</v>
      </c>
      <c r="AY97" s="307">
        <v>14730</v>
      </c>
      <c r="AZ97" s="307">
        <v>14670</v>
      </c>
      <c r="BA97" s="307">
        <v>14900</v>
      </c>
      <c r="BB97" s="307">
        <v>15270</v>
      </c>
      <c r="BC97" s="307">
        <v>15240</v>
      </c>
      <c r="BD97" s="307">
        <v>15660</v>
      </c>
      <c r="BE97" s="307">
        <v>15610</v>
      </c>
      <c r="BF97" s="307">
        <v>15070</v>
      </c>
    </row>
    <row r="98" spans="1:58" x14ac:dyDescent="0.2">
      <c r="A98" s="308" t="s">
        <v>94</v>
      </c>
      <c r="B98" s="305"/>
      <c r="C98" s="307">
        <v>1720</v>
      </c>
      <c r="D98" s="307">
        <v>1630</v>
      </c>
      <c r="E98" s="307">
        <v>1740</v>
      </c>
      <c r="F98" s="307">
        <v>2160</v>
      </c>
      <c r="G98" s="307">
        <v>2260</v>
      </c>
      <c r="H98" s="307">
        <v>2470</v>
      </c>
      <c r="I98" s="307">
        <v>2590</v>
      </c>
      <c r="J98" s="307">
        <v>2700</v>
      </c>
      <c r="K98" s="307">
        <v>2920</v>
      </c>
      <c r="L98" s="307">
        <v>2980</v>
      </c>
      <c r="M98" s="307">
        <v>3160</v>
      </c>
      <c r="N98" s="307">
        <v>3280</v>
      </c>
      <c r="O98" s="307">
        <v>3390</v>
      </c>
      <c r="P98" s="307">
        <v>3490</v>
      </c>
      <c r="Q98" s="307">
        <v>3690</v>
      </c>
      <c r="R98" s="307">
        <v>3650</v>
      </c>
      <c r="S98" s="307">
        <v>3570</v>
      </c>
      <c r="T98" s="307">
        <v>3710</v>
      </c>
      <c r="U98" s="307">
        <v>3900</v>
      </c>
      <c r="V98" s="307">
        <v>4030</v>
      </c>
      <c r="W98" s="307">
        <v>4310</v>
      </c>
      <c r="X98" s="307">
        <v>4570</v>
      </c>
      <c r="Y98" s="307">
        <v>4760</v>
      </c>
      <c r="Z98" s="307">
        <v>5360</v>
      </c>
      <c r="AA98" s="307">
        <v>5860</v>
      </c>
      <c r="AB98" s="307">
        <v>6020</v>
      </c>
      <c r="AC98" s="307">
        <v>5520</v>
      </c>
      <c r="AD98" s="307">
        <v>6320</v>
      </c>
      <c r="AE98" s="307">
        <v>6650</v>
      </c>
      <c r="AF98" s="307">
        <v>7100</v>
      </c>
      <c r="AG98" s="307">
        <v>8500</v>
      </c>
      <c r="AH98" s="307">
        <v>8550</v>
      </c>
      <c r="AI98" s="307">
        <v>8670</v>
      </c>
      <c r="AJ98" s="307">
        <v>8890</v>
      </c>
      <c r="AK98" s="307">
        <v>9000</v>
      </c>
      <c r="AL98" s="307">
        <v>9320</v>
      </c>
      <c r="AM98" s="307">
        <v>9550</v>
      </c>
      <c r="AN98" s="307">
        <v>9980</v>
      </c>
      <c r="AO98" s="307">
        <v>10350</v>
      </c>
      <c r="AP98" s="307">
        <v>10930</v>
      </c>
      <c r="AQ98" s="307">
        <v>11310</v>
      </c>
      <c r="AR98" s="307">
        <v>11510</v>
      </c>
      <c r="AS98" s="307">
        <v>12230</v>
      </c>
      <c r="AT98" s="307">
        <v>12560</v>
      </c>
      <c r="AU98" s="307">
        <v>13130</v>
      </c>
      <c r="AV98" s="307">
        <v>13520</v>
      </c>
      <c r="AW98" s="307">
        <v>13610</v>
      </c>
      <c r="AX98" s="307">
        <v>13630</v>
      </c>
      <c r="AY98" s="307">
        <v>13300</v>
      </c>
      <c r="AZ98" s="307">
        <v>13300</v>
      </c>
      <c r="BA98" s="307">
        <v>13260</v>
      </c>
      <c r="BB98" s="307">
        <v>13490</v>
      </c>
      <c r="BC98" s="307">
        <v>13830</v>
      </c>
      <c r="BD98" s="307">
        <v>13810</v>
      </c>
      <c r="BE98" s="307">
        <v>14210</v>
      </c>
      <c r="BF98" s="307">
        <v>14180</v>
      </c>
    </row>
    <row r="99" spans="1:58" x14ac:dyDescent="0.2">
      <c r="A99" s="308" t="s">
        <v>95</v>
      </c>
      <c r="B99" s="305"/>
      <c r="C99" s="307">
        <v>5020</v>
      </c>
      <c r="D99" s="307">
        <v>5330</v>
      </c>
      <c r="E99" s="307">
        <v>5570</v>
      </c>
      <c r="F99" s="307">
        <v>5830</v>
      </c>
      <c r="G99" s="307">
        <v>6410</v>
      </c>
      <c r="H99" s="307">
        <v>7030</v>
      </c>
      <c r="I99" s="307">
        <v>7630</v>
      </c>
      <c r="J99" s="307">
        <v>8230</v>
      </c>
      <c r="K99" s="307">
        <v>8820</v>
      </c>
      <c r="L99" s="307">
        <v>9480</v>
      </c>
      <c r="M99" s="307">
        <v>10070</v>
      </c>
      <c r="N99" s="307">
        <v>10690</v>
      </c>
      <c r="O99" s="307">
        <v>11310</v>
      </c>
      <c r="P99" s="307">
        <v>11900</v>
      </c>
      <c r="Q99" s="307">
        <v>12470</v>
      </c>
      <c r="R99" s="307">
        <v>13100</v>
      </c>
      <c r="S99" s="307">
        <v>13590</v>
      </c>
      <c r="T99" s="307">
        <v>13920</v>
      </c>
      <c r="U99" s="307">
        <v>14310</v>
      </c>
      <c r="V99" s="307">
        <v>14790</v>
      </c>
      <c r="W99" s="307">
        <v>15310</v>
      </c>
      <c r="X99" s="307">
        <v>15990</v>
      </c>
      <c r="Y99" s="307">
        <v>16780</v>
      </c>
      <c r="Z99" s="307">
        <v>17610</v>
      </c>
      <c r="AA99" s="307">
        <v>18830</v>
      </c>
      <c r="AB99" s="307">
        <v>20280</v>
      </c>
      <c r="AC99" s="307">
        <v>21640</v>
      </c>
      <c r="AD99" s="307">
        <v>22340</v>
      </c>
      <c r="AE99" s="307">
        <v>23610</v>
      </c>
      <c r="AF99" s="307">
        <v>24960</v>
      </c>
      <c r="AG99" s="307">
        <v>26480</v>
      </c>
      <c r="AH99" s="307">
        <v>28970</v>
      </c>
      <c r="AI99" s="307">
        <v>31120</v>
      </c>
      <c r="AJ99" s="307">
        <v>33020</v>
      </c>
      <c r="AK99" s="307">
        <v>34800</v>
      </c>
      <c r="AL99" s="307">
        <v>36380</v>
      </c>
      <c r="AM99" s="307">
        <v>37960</v>
      </c>
      <c r="AN99" s="307">
        <v>39470</v>
      </c>
      <c r="AO99" s="307">
        <v>41110</v>
      </c>
      <c r="AP99" s="307">
        <v>42810</v>
      </c>
      <c r="AQ99" s="307">
        <v>44750</v>
      </c>
      <c r="AR99" s="307">
        <v>46740</v>
      </c>
      <c r="AS99" s="307">
        <v>48590</v>
      </c>
      <c r="AT99" s="307">
        <v>50790</v>
      </c>
      <c r="AU99" s="307">
        <v>52950</v>
      </c>
      <c r="AV99" s="307">
        <v>55300</v>
      </c>
      <c r="AW99" s="307">
        <v>57650</v>
      </c>
      <c r="AX99" s="307">
        <v>59720</v>
      </c>
      <c r="AY99" s="307">
        <v>61490</v>
      </c>
      <c r="AZ99" s="307">
        <v>62700</v>
      </c>
      <c r="BA99" s="307">
        <v>63710</v>
      </c>
      <c r="BB99" s="307">
        <v>64520</v>
      </c>
      <c r="BC99" s="307">
        <v>65400</v>
      </c>
      <c r="BD99" s="307">
        <v>66480</v>
      </c>
      <c r="BE99" s="307">
        <v>67410</v>
      </c>
      <c r="BF99" s="307">
        <v>68580</v>
      </c>
    </row>
    <row r="100" spans="1:58" x14ac:dyDescent="0.2">
      <c r="A100" s="304" t="s">
        <v>97</v>
      </c>
      <c r="B100" s="305"/>
      <c r="C100" s="306">
        <f t="shared" ref="C100:AH100" si="1">SUM(C$9:C$99)/1000000</f>
        <v>2.0483799999999999</v>
      </c>
      <c r="D100" s="306">
        <f t="shared" si="1"/>
        <v>2.0707</v>
      </c>
      <c r="E100" s="306">
        <f t="shared" si="1"/>
        <v>2.0921799999999999</v>
      </c>
      <c r="F100" s="306">
        <f t="shared" si="1"/>
        <v>2.1174900000000001</v>
      </c>
      <c r="G100" s="306">
        <f t="shared" si="1"/>
        <v>2.1446000000000001</v>
      </c>
      <c r="H100" s="306">
        <f t="shared" si="1"/>
        <v>2.1645400000000001</v>
      </c>
      <c r="I100" s="306">
        <f t="shared" si="1"/>
        <v>2.1794500000000001</v>
      </c>
      <c r="J100" s="306">
        <f t="shared" si="1"/>
        <v>2.1955</v>
      </c>
      <c r="K100" s="306">
        <f t="shared" si="1"/>
        <v>2.2149700000000001</v>
      </c>
      <c r="L100" s="306">
        <f t="shared" si="1"/>
        <v>2.2368299999999999</v>
      </c>
      <c r="M100" s="306">
        <f t="shared" si="1"/>
        <v>2.2586300000000001</v>
      </c>
      <c r="N100" s="306">
        <f t="shared" si="1"/>
        <v>2.2803300000000002</v>
      </c>
      <c r="O100" s="306">
        <f t="shared" si="1"/>
        <v>2.3020900000000002</v>
      </c>
      <c r="P100" s="306">
        <f t="shared" si="1"/>
        <v>2.3238599999999998</v>
      </c>
      <c r="Q100" s="306">
        <f t="shared" si="1"/>
        <v>2.3454600000000001</v>
      </c>
      <c r="R100" s="306">
        <f t="shared" si="1"/>
        <v>2.3669899999999999</v>
      </c>
      <c r="S100" s="306">
        <f t="shared" si="1"/>
        <v>2.3883700000000001</v>
      </c>
      <c r="T100" s="306">
        <f t="shared" si="1"/>
        <v>2.4096299999999999</v>
      </c>
      <c r="U100" s="306">
        <f t="shared" si="1"/>
        <v>2.4306899999999998</v>
      </c>
      <c r="V100" s="306">
        <f t="shared" si="1"/>
        <v>2.4514200000000002</v>
      </c>
      <c r="W100" s="306">
        <f t="shared" si="1"/>
        <v>2.4718800000000001</v>
      </c>
      <c r="X100" s="306">
        <f t="shared" si="1"/>
        <v>2.4920200000000001</v>
      </c>
      <c r="Y100" s="306">
        <f t="shared" si="1"/>
        <v>2.5117400000000001</v>
      </c>
      <c r="Z100" s="306">
        <f t="shared" si="1"/>
        <v>2.5310999999999999</v>
      </c>
      <c r="AA100" s="306">
        <f t="shared" si="1"/>
        <v>2.5499700000000001</v>
      </c>
      <c r="AB100" s="306">
        <f t="shared" si="1"/>
        <v>2.56839</v>
      </c>
      <c r="AC100" s="306">
        <f t="shared" si="1"/>
        <v>2.58636</v>
      </c>
      <c r="AD100" s="306">
        <f t="shared" si="1"/>
        <v>2.6039300000000001</v>
      </c>
      <c r="AE100" s="306">
        <f t="shared" si="1"/>
        <v>2.6210399999999998</v>
      </c>
      <c r="AF100" s="306">
        <f t="shared" si="1"/>
        <v>2.63781</v>
      </c>
      <c r="AG100" s="306">
        <f t="shared" si="1"/>
        <v>2.6541700000000001</v>
      </c>
      <c r="AH100" s="306">
        <f t="shared" si="1"/>
        <v>2.6702499999999998</v>
      </c>
      <c r="AI100" s="306">
        <f t="shared" ref="AI100:BF100" si="2">SUM(AI$9:AI$99)/1000000</f>
        <v>2.6861000000000002</v>
      </c>
      <c r="AJ100" s="306">
        <f t="shared" si="2"/>
        <v>2.7016300000000002</v>
      </c>
      <c r="AK100" s="306">
        <f t="shared" si="2"/>
        <v>2.7169300000000001</v>
      </c>
      <c r="AL100" s="306">
        <f t="shared" si="2"/>
        <v>2.73203</v>
      </c>
      <c r="AM100" s="306">
        <f t="shared" si="2"/>
        <v>2.7468900000000001</v>
      </c>
      <c r="AN100" s="306">
        <f t="shared" si="2"/>
        <v>2.7615599999999998</v>
      </c>
      <c r="AO100" s="306">
        <f t="shared" si="2"/>
        <v>2.7759999999999998</v>
      </c>
      <c r="AP100" s="306">
        <f t="shared" si="2"/>
        <v>2.7902399999999998</v>
      </c>
      <c r="AQ100" s="306">
        <f t="shared" si="2"/>
        <v>2.8042699999999998</v>
      </c>
      <c r="AR100" s="306">
        <f t="shared" si="2"/>
        <v>2.8180900000000002</v>
      </c>
      <c r="AS100" s="306">
        <f t="shared" si="2"/>
        <v>2.8317700000000001</v>
      </c>
      <c r="AT100" s="306">
        <f t="shared" si="2"/>
        <v>2.84524</v>
      </c>
      <c r="AU100" s="306">
        <f t="shared" si="2"/>
        <v>2.8586299999999998</v>
      </c>
      <c r="AV100" s="306">
        <f t="shared" si="2"/>
        <v>2.87195</v>
      </c>
      <c r="AW100" s="306">
        <f t="shared" si="2"/>
        <v>2.8852000000000002</v>
      </c>
      <c r="AX100" s="306">
        <f t="shared" si="2"/>
        <v>2.8983599999999998</v>
      </c>
      <c r="AY100" s="306">
        <f t="shared" si="2"/>
        <v>2.9115099999999998</v>
      </c>
      <c r="AZ100" s="306">
        <f t="shared" si="2"/>
        <v>2.9246599999999998</v>
      </c>
      <c r="BA100" s="306">
        <f t="shared" si="2"/>
        <v>2.9378899999999999</v>
      </c>
      <c r="BB100" s="306">
        <f t="shared" si="2"/>
        <v>2.9511099999999999</v>
      </c>
      <c r="BC100" s="306">
        <f t="shared" si="2"/>
        <v>2.9643700000000002</v>
      </c>
      <c r="BD100" s="306">
        <f t="shared" si="2"/>
        <v>2.97776</v>
      </c>
      <c r="BE100" s="306">
        <f t="shared" si="2"/>
        <v>2.99125</v>
      </c>
      <c r="BF100" s="306">
        <f t="shared" si="2"/>
        <v>3.0047100000000002</v>
      </c>
    </row>
    <row r="101" spans="1:58" x14ac:dyDescent="0.2">
      <c r="A101" s="304"/>
      <c r="B101" s="305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6"/>
      <c r="AZ101" s="306"/>
      <c r="BA101" s="306"/>
      <c r="BB101" s="306"/>
      <c r="BC101" s="306"/>
      <c r="BD101" s="306"/>
      <c r="BE101" s="306"/>
      <c r="BF101" s="306"/>
    </row>
    <row r="102" spans="1:58" x14ac:dyDescent="0.2">
      <c r="A102" s="304" t="s">
        <v>96</v>
      </c>
      <c r="B102" s="305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307"/>
    </row>
    <row r="103" spans="1:58" x14ac:dyDescent="0.2">
      <c r="A103" s="308" t="s">
        <v>5</v>
      </c>
      <c r="B103" s="305"/>
      <c r="C103" s="307">
        <v>28910</v>
      </c>
      <c r="D103" s="307">
        <v>30110</v>
      </c>
      <c r="E103" s="307">
        <v>31140</v>
      </c>
      <c r="F103" s="307">
        <v>30440</v>
      </c>
      <c r="G103" s="307">
        <v>31140</v>
      </c>
      <c r="H103" s="307">
        <v>30370</v>
      </c>
      <c r="I103" s="307">
        <v>29520</v>
      </c>
      <c r="J103" s="307">
        <v>29460</v>
      </c>
      <c r="K103" s="307">
        <v>29500</v>
      </c>
      <c r="L103" s="307">
        <v>29630</v>
      </c>
      <c r="M103" s="307">
        <v>29800</v>
      </c>
      <c r="N103" s="307">
        <v>29980</v>
      </c>
      <c r="O103" s="307">
        <v>30170</v>
      </c>
      <c r="P103" s="307">
        <v>30350</v>
      </c>
      <c r="Q103" s="307">
        <v>30510</v>
      </c>
      <c r="R103" s="307">
        <v>30650</v>
      </c>
      <c r="S103" s="307">
        <v>30760</v>
      </c>
      <c r="T103" s="307">
        <v>30840</v>
      </c>
      <c r="U103" s="307">
        <v>30890</v>
      </c>
      <c r="V103" s="307">
        <v>30920</v>
      </c>
      <c r="W103" s="307">
        <v>30910</v>
      </c>
      <c r="X103" s="307">
        <v>30890</v>
      </c>
      <c r="Y103" s="307">
        <v>30840</v>
      </c>
      <c r="Z103" s="307">
        <v>30770</v>
      </c>
      <c r="AA103" s="307">
        <v>30690</v>
      </c>
      <c r="AB103" s="307">
        <v>30600</v>
      </c>
      <c r="AC103" s="307">
        <v>30520</v>
      </c>
      <c r="AD103" s="307">
        <v>30460</v>
      </c>
      <c r="AE103" s="307">
        <v>30420</v>
      </c>
      <c r="AF103" s="307">
        <v>30420</v>
      </c>
      <c r="AG103" s="307">
        <v>30450</v>
      </c>
      <c r="AH103" s="307">
        <v>30510</v>
      </c>
      <c r="AI103" s="307">
        <v>30580</v>
      </c>
      <c r="AJ103" s="307">
        <v>30680</v>
      </c>
      <c r="AK103" s="307">
        <v>30770</v>
      </c>
      <c r="AL103" s="307">
        <v>30870</v>
      </c>
      <c r="AM103" s="307">
        <v>30960</v>
      </c>
      <c r="AN103" s="307">
        <v>31050</v>
      </c>
      <c r="AO103" s="307">
        <v>31120</v>
      </c>
      <c r="AP103" s="307">
        <v>31190</v>
      </c>
      <c r="AQ103" s="307">
        <v>31250</v>
      </c>
      <c r="AR103" s="307">
        <v>31310</v>
      </c>
      <c r="AS103" s="307">
        <v>31370</v>
      </c>
      <c r="AT103" s="307">
        <v>31430</v>
      </c>
      <c r="AU103" s="307">
        <v>31490</v>
      </c>
      <c r="AV103" s="307">
        <v>31540</v>
      </c>
      <c r="AW103" s="307">
        <v>31590</v>
      </c>
      <c r="AX103" s="307">
        <v>31640</v>
      </c>
      <c r="AY103" s="307">
        <v>31690</v>
      </c>
      <c r="AZ103" s="307">
        <v>31740</v>
      </c>
      <c r="BA103" s="307">
        <v>31780</v>
      </c>
      <c r="BB103" s="307">
        <v>31810</v>
      </c>
      <c r="BC103" s="307">
        <v>31840</v>
      </c>
      <c r="BD103" s="307">
        <v>31860</v>
      </c>
      <c r="BE103" s="307">
        <v>31870</v>
      </c>
      <c r="BF103" s="307">
        <v>31880</v>
      </c>
    </row>
    <row r="104" spans="1:58" x14ac:dyDescent="0.2">
      <c r="A104" s="308" t="s">
        <v>6</v>
      </c>
      <c r="B104" s="305"/>
      <c r="C104" s="307">
        <v>27990</v>
      </c>
      <c r="D104" s="307">
        <v>28840</v>
      </c>
      <c r="E104" s="307">
        <v>30040</v>
      </c>
      <c r="F104" s="307">
        <v>31110</v>
      </c>
      <c r="G104" s="307">
        <v>30410</v>
      </c>
      <c r="H104" s="307">
        <v>31030</v>
      </c>
      <c r="I104" s="307">
        <v>30220</v>
      </c>
      <c r="J104" s="307">
        <v>29390</v>
      </c>
      <c r="K104" s="307">
        <v>29360</v>
      </c>
      <c r="L104" s="307">
        <v>29440</v>
      </c>
      <c r="M104" s="307">
        <v>29570</v>
      </c>
      <c r="N104" s="307">
        <v>29740</v>
      </c>
      <c r="O104" s="307">
        <v>29930</v>
      </c>
      <c r="P104" s="307">
        <v>30110</v>
      </c>
      <c r="Q104" s="307">
        <v>30290</v>
      </c>
      <c r="R104" s="307">
        <v>30450</v>
      </c>
      <c r="S104" s="307">
        <v>30590</v>
      </c>
      <c r="T104" s="307">
        <v>30700</v>
      </c>
      <c r="U104" s="307">
        <v>30790</v>
      </c>
      <c r="V104" s="307">
        <v>30840</v>
      </c>
      <c r="W104" s="307">
        <v>30860</v>
      </c>
      <c r="X104" s="307">
        <v>30860</v>
      </c>
      <c r="Y104" s="307">
        <v>30840</v>
      </c>
      <c r="Z104" s="307">
        <v>30780</v>
      </c>
      <c r="AA104" s="307">
        <v>30720</v>
      </c>
      <c r="AB104" s="307">
        <v>30630</v>
      </c>
      <c r="AC104" s="307">
        <v>30550</v>
      </c>
      <c r="AD104" s="307">
        <v>30470</v>
      </c>
      <c r="AE104" s="307">
        <v>30410</v>
      </c>
      <c r="AF104" s="307">
        <v>30370</v>
      </c>
      <c r="AG104" s="307">
        <v>30370</v>
      </c>
      <c r="AH104" s="307">
        <v>30400</v>
      </c>
      <c r="AI104" s="307">
        <v>30460</v>
      </c>
      <c r="AJ104" s="307">
        <v>30540</v>
      </c>
      <c r="AK104" s="307">
        <v>30630</v>
      </c>
      <c r="AL104" s="307">
        <v>30730</v>
      </c>
      <c r="AM104" s="307">
        <v>30820</v>
      </c>
      <c r="AN104" s="307">
        <v>30920</v>
      </c>
      <c r="AO104" s="307">
        <v>31000</v>
      </c>
      <c r="AP104" s="307">
        <v>31070</v>
      </c>
      <c r="AQ104" s="307">
        <v>31140</v>
      </c>
      <c r="AR104" s="307">
        <v>31210</v>
      </c>
      <c r="AS104" s="307">
        <v>31270</v>
      </c>
      <c r="AT104" s="307">
        <v>31330</v>
      </c>
      <c r="AU104" s="307">
        <v>31380</v>
      </c>
      <c r="AV104" s="307">
        <v>31440</v>
      </c>
      <c r="AW104" s="307">
        <v>31490</v>
      </c>
      <c r="AX104" s="307">
        <v>31550</v>
      </c>
      <c r="AY104" s="307">
        <v>31600</v>
      </c>
      <c r="AZ104" s="307">
        <v>31650</v>
      </c>
      <c r="BA104" s="307">
        <v>31690</v>
      </c>
      <c r="BB104" s="307">
        <v>31730</v>
      </c>
      <c r="BC104" s="307">
        <v>31770</v>
      </c>
      <c r="BD104" s="307">
        <v>31790</v>
      </c>
      <c r="BE104" s="307">
        <v>31810</v>
      </c>
      <c r="BF104" s="307">
        <v>31830</v>
      </c>
    </row>
    <row r="105" spans="1:58" x14ac:dyDescent="0.2">
      <c r="A105" s="308" t="s">
        <v>7</v>
      </c>
      <c r="B105" s="305"/>
      <c r="C105" s="307">
        <v>28180</v>
      </c>
      <c r="D105" s="307">
        <v>28020</v>
      </c>
      <c r="E105" s="307">
        <v>28820</v>
      </c>
      <c r="F105" s="307">
        <v>30120</v>
      </c>
      <c r="G105" s="307">
        <v>31140</v>
      </c>
      <c r="H105" s="307">
        <v>30320</v>
      </c>
      <c r="I105" s="307">
        <v>30890</v>
      </c>
      <c r="J105" s="307">
        <v>30100</v>
      </c>
      <c r="K105" s="307">
        <v>29310</v>
      </c>
      <c r="L105" s="307">
        <v>29320</v>
      </c>
      <c r="M105" s="307">
        <v>29400</v>
      </c>
      <c r="N105" s="307">
        <v>29530</v>
      </c>
      <c r="O105" s="307">
        <v>29700</v>
      </c>
      <c r="P105" s="307">
        <v>29890</v>
      </c>
      <c r="Q105" s="307">
        <v>30070</v>
      </c>
      <c r="R105" s="307">
        <v>30250</v>
      </c>
      <c r="S105" s="307">
        <v>30420</v>
      </c>
      <c r="T105" s="307">
        <v>30550</v>
      </c>
      <c r="U105" s="307">
        <v>30670</v>
      </c>
      <c r="V105" s="307">
        <v>30750</v>
      </c>
      <c r="W105" s="307">
        <v>30800</v>
      </c>
      <c r="X105" s="307">
        <v>30830</v>
      </c>
      <c r="Y105" s="307">
        <v>30820</v>
      </c>
      <c r="Z105" s="307">
        <v>30800</v>
      </c>
      <c r="AA105" s="307">
        <v>30750</v>
      </c>
      <c r="AB105" s="307">
        <v>30680</v>
      </c>
      <c r="AC105" s="307">
        <v>30600</v>
      </c>
      <c r="AD105" s="307">
        <v>30520</v>
      </c>
      <c r="AE105" s="307">
        <v>30440</v>
      </c>
      <c r="AF105" s="307">
        <v>30380</v>
      </c>
      <c r="AG105" s="307">
        <v>30340</v>
      </c>
      <c r="AH105" s="307">
        <v>30330</v>
      </c>
      <c r="AI105" s="307">
        <v>30360</v>
      </c>
      <c r="AJ105" s="307">
        <v>30420</v>
      </c>
      <c r="AK105" s="307">
        <v>30500</v>
      </c>
      <c r="AL105" s="307">
        <v>30590</v>
      </c>
      <c r="AM105" s="307">
        <v>30690</v>
      </c>
      <c r="AN105" s="307">
        <v>30790</v>
      </c>
      <c r="AO105" s="307">
        <v>30880</v>
      </c>
      <c r="AP105" s="307">
        <v>30960</v>
      </c>
      <c r="AQ105" s="307">
        <v>31040</v>
      </c>
      <c r="AR105" s="307">
        <v>31110</v>
      </c>
      <c r="AS105" s="307">
        <v>31170</v>
      </c>
      <c r="AT105" s="307">
        <v>31230</v>
      </c>
      <c r="AU105" s="307">
        <v>31290</v>
      </c>
      <c r="AV105" s="307">
        <v>31350</v>
      </c>
      <c r="AW105" s="307">
        <v>31410</v>
      </c>
      <c r="AX105" s="307">
        <v>31460</v>
      </c>
      <c r="AY105" s="307">
        <v>31510</v>
      </c>
      <c r="AZ105" s="307">
        <v>31570</v>
      </c>
      <c r="BA105" s="307">
        <v>31620</v>
      </c>
      <c r="BB105" s="307">
        <v>31660</v>
      </c>
      <c r="BC105" s="307">
        <v>31700</v>
      </c>
      <c r="BD105" s="307">
        <v>31730</v>
      </c>
      <c r="BE105" s="307">
        <v>31760</v>
      </c>
      <c r="BF105" s="307">
        <v>31780</v>
      </c>
    </row>
    <row r="106" spans="1:58" x14ac:dyDescent="0.2">
      <c r="A106" s="308" t="s">
        <v>8</v>
      </c>
      <c r="B106" s="305"/>
      <c r="C106" s="307">
        <v>27310</v>
      </c>
      <c r="D106" s="307">
        <v>28230</v>
      </c>
      <c r="E106" s="307">
        <v>28010</v>
      </c>
      <c r="F106" s="307">
        <v>28860</v>
      </c>
      <c r="G106" s="307">
        <v>30190</v>
      </c>
      <c r="H106" s="307">
        <v>31050</v>
      </c>
      <c r="I106" s="307">
        <v>30190</v>
      </c>
      <c r="J106" s="307">
        <v>30780</v>
      </c>
      <c r="K106" s="307">
        <v>30030</v>
      </c>
      <c r="L106" s="307">
        <v>29280</v>
      </c>
      <c r="M106" s="307">
        <v>29290</v>
      </c>
      <c r="N106" s="307">
        <v>29370</v>
      </c>
      <c r="O106" s="307">
        <v>29500</v>
      </c>
      <c r="P106" s="307">
        <v>29670</v>
      </c>
      <c r="Q106" s="307">
        <v>29860</v>
      </c>
      <c r="R106" s="307">
        <v>30040</v>
      </c>
      <c r="S106" s="307">
        <v>30220</v>
      </c>
      <c r="T106" s="307">
        <v>30390</v>
      </c>
      <c r="U106" s="307">
        <v>30530</v>
      </c>
      <c r="V106" s="307">
        <v>30640</v>
      </c>
      <c r="W106" s="307">
        <v>30720</v>
      </c>
      <c r="X106" s="307">
        <v>30770</v>
      </c>
      <c r="Y106" s="307">
        <v>30800</v>
      </c>
      <c r="Z106" s="307">
        <v>30800</v>
      </c>
      <c r="AA106" s="307">
        <v>30770</v>
      </c>
      <c r="AB106" s="307">
        <v>30720</v>
      </c>
      <c r="AC106" s="307">
        <v>30650</v>
      </c>
      <c r="AD106" s="307">
        <v>30570</v>
      </c>
      <c r="AE106" s="307">
        <v>30490</v>
      </c>
      <c r="AF106" s="307">
        <v>30410</v>
      </c>
      <c r="AG106" s="307">
        <v>30350</v>
      </c>
      <c r="AH106" s="307">
        <v>30310</v>
      </c>
      <c r="AI106" s="307">
        <v>30310</v>
      </c>
      <c r="AJ106" s="307">
        <v>30330</v>
      </c>
      <c r="AK106" s="307">
        <v>30390</v>
      </c>
      <c r="AL106" s="307">
        <v>30470</v>
      </c>
      <c r="AM106" s="307">
        <v>30570</v>
      </c>
      <c r="AN106" s="307">
        <v>30670</v>
      </c>
      <c r="AO106" s="307">
        <v>30760</v>
      </c>
      <c r="AP106" s="307">
        <v>30850</v>
      </c>
      <c r="AQ106" s="307">
        <v>30940</v>
      </c>
      <c r="AR106" s="307">
        <v>31010</v>
      </c>
      <c r="AS106" s="307">
        <v>31080</v>
      </c>
      <c r="AT106" s="307">
        <v>31150</v>
      </c>
      <c r="AU106" s="307">
        <v>31210</v>
      </c>
      <c r="AV106" s="307">
        <v>31270</v>
      </c>
      <c r="AW106" s="307">
        <v>31320</v>
      </c>
      <c r="AX106" s="307">
        <v>31380</v>
      </c>
      <c r="AY106" s="307">
        <v>31430</v>
      </c>
      <c r="AZ106" s="307">
        <v>31490</v>
      </c>
      <c r="BA106" s="307">
        <v>31540</v>
      </c>
      <c r="BB106" s="307">
        <v>31590</v>
      </c>
      <c r="BC106" s="307">
        <v>31630</v>
      </c>
      <c r="BD106" s="307">
        <v>31670</v>
      </c>
      <c r="BE106" s="307">
        <v>31710</v>
      </c>
      <c r="BF106" s="307">
        <v>31730</v>
      </c>
    </row>
    <row r="107" spans="1:58" x14ac:dyDescent="0.2">
      <c r="A107" s="308" t="s">
        <v>9</v>
      </c>
      <c r="B107" s="305"/>
      <c r="C107" s="307">
        <v>27400</v>
      </c>
      <c r="D107" s="307">
        <v>27380</v>
      </c>
      <c r="E107" s="307">
        <v>28240</v>
      </c>
      <c r="F107" s="307">
        <v>28070</v>
      </c>
      <c r="G107" s="307">
        <v>28950</v>
      </c>
      <c r="H107" s="307">
        <v>30140</v>
      </c>
      <c r="I107" s="307">
        <v>30930</v>
      </c>
      <c r="J107" s="307">
        <v>30090</v>
      </c>
      <c r="K107" s="307">
        <v>30730</v>
      </c>
      <c r="L107" s="307">
        <v>30010</v>
      </c>
      <c r="M107" s="307">
        <v>29260</v>
      </c>
      <c r="N107" s="307">
        <v>29270</v>
      </c>
      <c r="O107" s="307">
        <v>29350</v>
      </c>
      <c r="P107" s="307">
        <v>29480</v>
      </c>
      <c r="Q107" s="307">
        <v>29650</v>
      </c>
      <c r="R107" s="307">
        <v>29830</v>
      </c>
      <c r="S107" s="307">
        <v>30020</v>
      </c>
      <c r="T107" s="307">
        <v>30200</v>
      </c>
      <c r="U107" s="307">
        <v>30360</v>
      </c>
      <c r="V107" s="307">
        <v>30500</v>
      </c>
      <c r="W107" s="307">
        <v>30610</v>
      </c>
      <c r="X107" s="307">
        <v>30700</v>
      </c>
      <c r="Y107" s="307">
        <v>30750</v>
      </c>
      <c r="Z107" s="307">
        <v>30770</v>
      </c>
      <c r="AA107" s="307">
        <v>30770</v>
      </c>
      <c r="AB107" s="307">
        <v>30750</v>
      </c>
      <c r="AC107" s="307">
        <v>30700</v>
      </c>
      <c r="AD107" s="307">
        <v>30630</v>
      </c>
      <c r="AE107" s="307">
        <v>30550</v>
      </c>
      <c r="AF107" s="307">
        <v>30470</v>
      </c>
      <c r="AG107" s="307">
        <v>30390</v>
      </c>
      <c r="AH107" s="307">
        <v>30330</v>
      </c>
      <c r="AI107" s="307">
        <v>30290</v>
      </c>
      <c r="AJ107" s="307">
        <v>30280</v>
      </c>
      <c r="AK107" s="307">
        <v>30310</v>
      </c>
      <c r="AL107" s="307">
        <v>30370</v>
      </c>
      <c r="AM107" s="307">
        <v>30450</v>
      </c>
      <c r="AN107" s="307">
        <v>30540</v>
      </c>
      <c r="AO107" s="307">
        <v>30640</v>
      </c>
      <c r="AP107" s="307">
        <v>30740</v>
      </c>
      <c r="AQ107" s="307">
        <v>30830</v>
      </c>
      <c r="AR107" s="307">
        <v>30920</v>
      </c>
      <c r="AS107" s="307">
        <v>30990</v>
      </c>
      <c r="AT107" s="307">
        <v>31060</v>
      </c>
      <c r="AU107" s="307">
        <v>31120</v>
      </c>
      <c r="AV107" s="307">
        <v>31190</v>
      </c>
      <c r="AW107" s="307">
        <v>31240</v>
      </c>
      <c r="AX107" s="307">
        <v>31300</v>
      </c>
      <c r="AY107" s="307">
        <v>31360</v>
      </c>
      <c r="AZ107" s="307">
        <v>31410</v>
      </c>
      <c r="BA107" s="307">
        <v>31470</v>
      </c>
      <c r="BB107" s="307">
        <v>31520</v>
      </c>
      <c r="BC107" s="307">
        <v>31570</v>
      </c>
      <c r="BD107" s="307">
        <v>31610</v>
      </c>
      <c r="BE107" s="307">
        <v>31650</v>
      </c>
      <c r="BF107" s="307">
        <v>31690</v>
      </c>
    </row>
    <row r="108" spans="1:58" x14ac:dyDescent="0.2">
      <c r="A108" s="308" t="s">
        <v>10</v>
      </c>
      <c r="B108" s="305"/>
      <c r="C108" s="307">
        <v>28370</v>
      </c>
      <c r="D108" s="307">
        <v>27510</v>
      </c>
      <c r="E108" s="307">
        <v>27400</v>
      </c>
      <c r="F108" s="307">
        <v>28300</v>
      </c>
      <c r="G108" s="307">
        <v>28160</v>
      </c>
      <c r="H108" s="307">
        <v>28950</v>
      </c>
      <c r="I108" s="307">
        <v>30020</v>
      </c>
      <c r="J108" s="307">
        <v>30830</v>
      </c>
      <c r="K108" s="307">
        <v>30040</v>
      </c>
      <c r="L108" s="307">
        <v>30700</v>
      </c>
      <c r="M108" s="307">
        <v>29980</v>
      </c>
      <c r="N108" s="307">
        <v>29230</v>
      </c>
      <c r="O108" s="307">
        <v>29240</v>
      </c>
      <c r="P108" s="307">
        <v>29320</v>
      </c>
      <c r="Q108" s="307">
        <v>29450</v>
      </c>
      <c r="R108" s="307">
        <v>29620</v>
      </c>
      <c r="S108" s="307">
        <v>29810</v>
      </c>
      <c r="T108" s="307">
        <v>29990</v>
      </c>
      <c r="U108" s="307">
        <v>30170</v>
      </c>
      <c r="V108" s="307">
        <v>30340</v>
      </c>
      <c r="W108" s="307">
        <v>30480</v>
      </c>
      <c r="X108" s="307">
        <v>30590</v>
      </c>
      <c r="Y108" s="307">
        <v>30670</v>
      </c>
      <c r="Z108" s="307">
        <v>30730</v>
      </c>
      <c r="AA108" s="307">
        <v>30750</v>
      </c>
      <c r="AB108" s="307">
        <v>30750</v>
      </c>
      <c r="AC108" s="307">
        <v>30720</v>
      </c>
      <c r="AD108" s="307">
        <v>30670</v>
      </c>
      <c r="AE108" s="307">
        <v>30600</v>
      </c>
      <c r="AF108" s="307">
        <v>30520</v>
      </c>
      <c r="AG108" s="307">
        <v>30440</v>
      </c>
      <c r="AH108" s="307">
        <v>30360</v>
      </c>
      <c r="AI108" s="307">
        <v>30300</v>
      </c>
      <c r="AJ108" s="307">
        <v>30260</v>
      </c>
      <c r="AK108" s="307">
        <v>30260</v>
      </c>
      <c r="AL108" s="307">
        <v>30290</v>
      </c>
      <c r="AM108" s="307">
        <v>30350</v>
      </c>
      <c r="AN108" s="307">
        <v>30430</v>
      </c>
      <c r="AO108" s="307">
        <v>30520</v>
      </c>
      <c r="AP108" s="307">
        <v>30620</v>
      </c>
      <c r="AQ108" s="307">
        <v>30720</v>
      </c>
      <c r="AR108" s="307">
        <v>30810</v>
      </c>
      <c r="AS108" s="307">
        <v>30890</v>
      </c>
      <c r="AT108" s="307">
        <v>30970</v>
      </c>
      <c r="AU108" s="307">
        <v>31040</v>
      </c>
      <c r="AV108" s="307">
        <v>31100</v>
      </c>
      <c r="AW108" s="307">
        <v>31160</v>
      </c>
      <c r="AX108" s="307">
        <v>31220</v>
      </c>
      <c r="AY108" s="307">
        <v>31280</v>
      </c>
      <c r="AZ108" s="307">
        <v>31330</v>
      </c>
      <c r="BA108" s="307">
        <v>31390</v>
      </c>
      <c r="BB108" s="307">
        <v>31440</v>
      </c>
      <c r="BC108" s="307">
        <v>31500</v>
      </c>
      <c r="BD108" s="307">
        <v>31540</v>
      </c>
      <c r="BE108" s="307">
        <v>31590</v>
      </c>
      <c r="BF108" s="307">
        <v>31630</v>
      </c>
    </row>
    <row r="109" spans="1:58" x14ac:dyDescent="0.2">
      <c r="A109" s="308" t="s">
        <v>11</v>
      </c>
      <c r="B109" s="305"/>
      <c r="C109" s="307">
        <v>28910</v>
      </c>
      <c r="D109" s="307">
        <v>28430</v>
      </c>
      <c r="E109" s="307">
        <v>27520</v>
      </c>
      <c r="F109" s="307">
        <v>27430</v>
      </c>
      <c r="G109" s="307">
        <v>28400</v>
      </c>
      <c r="H109" s="307">
        <v>28130</v>
      </c>
      <c r="I109" s="307">
        <v>28840</v>
      </c>
      <c r="J109" s="307">
        <v>29930</v>
      </c>
      <c r="K109" s="307">
        <v>30770</v>
      </c>
      <c r="L109" s="307">
        <v>30000</v>
      </c>
      <c r="M109" s="307">
        <v>30670</v>
      </c>
      <c r="N109" s="307">
        <v>29950</v>
      </c>
      <c r="O109" s="307">
        <v>29200</v>
      </c>
      <c r="P109" s="307">
        <v>29210</v>
      </c>
      <c r="Q109" s="307">
        <v>29290</v>
      </c>
      <c r="R109" s="307">
        <v>29420</v>
      </c>
      <c r="S109" s="307">
        <v>29590</v>
      </c>
      <c r="T109" s="307">
        <v>29780</v>
      </c>
      <c r="U109" s="307">
        <v>29960</v>
      </c>
      <c r="V109" s="307">
        <v>30140</v>
      </c>
      <c r="W109" s="307">
        <v>30310</v>
      </c>
      <c r="X109" s="307">
        <v>30450</v>
      </c>
      <c r="Y109" s="307">
        <v>30560</v>
      </c>
      <c r="Z109" s="307">
        <v>30640</v>
      </c>
      <c r="AA109" s="307">
        <v>30700</v>
      </c>
      <c r="AB109" s="307">
        <v>30720</v>
      </c>
      <c r="AC109" s="307">
        <v>30720</v>
      </c>
      <c r="AD109" s="307">
        <v>30690</v>
      </c>
      <c r="AE109" s="307">
        <v>30640</v>
      </c>
      <c r="AF109" s="307">
        <v>30570</v>
      </c>
      <c r="AG109" s="307">
        <v>30490</v>
      </c>
      <c r="AH109" s="307">
        <v>30410</v>
      </c>
      <c r="AI109" s="307">
        <v>30330</v>
      </c>
      <c r="AJ109" s="307">
        <v>30270</v>
      </c>
      <c r="AK109" s="307">
        <v>30240</v>
      </c>
      <c r="AL109" s="307">
        <v>30230</v>
      </c>
      <c r="AM109" s="307">
        <v>30260</v>
      </c>
      <c r="AN109" s="307">
        <v>30320</v>
      </c>
      <c r="AO109" s="307">
        <v>30400</v>
      </c>
      <c r="AP109" s="307">
        <v>30490</v>
      </c>
      <c r="AQ109" s="307">
        <v>30590</v>
      </c>
      <c r="AR109" s="307">
        <v>30690</v>
      </c>
      <c r="AS109" s="307">
        <v>30780</v>
      </c>
      <c r="AT109" s="307">
        <v>30860</v>
      </c>
      <c r="AU109" s="307">
        <v>30940</v>
      </c>
      <c r="AV109" s="307">
        <v>31010</v>
      </c>
      <c r="AW109" s="307">
        <v>31070</v>
      </c>
      <c r="AX109" s="307">
        <v>31130</v>
      </c>
      <c r="AY109" s="307">
        <v>31190</v>
      </c>
      <c r="AZ109" s="307">
        <v>31250</v>
      </c>
      <c r="BA109" s="307">
        <v>31310</v>
      </c>
      <c r="BB109" s="307">
        <v>31360</v>
      </c>
      <c r="BC109" s="307">
        <v>31410</v>
      </c>
      <c r="BD109" s="307">
        <v>31470</v>
      </c>
      <c r="BE109" s="307">
        <v>31510</v>
      </c>
      <c r="BF109" s="307">
        <v>31560</v>
      </c>
    </row>
    <row r="110" spans="1:58" x14ac:dyDescent="0.2">
      <c r="A110" s="308" t="s">
        <v>12</v>
      </c>
      <c r="B110" s="305"/>
      <c r="C110" s="307">
        <v>27980</v>
      </c>
      <c r="D110" s="307">
        <v>29000</v>
      </c>
      <c r="E110" s="307">
        <v>28410</v>
      </c>
      <c r="F110" s="307">
        <v>27520</v>
      </c>
      <c r="G110" s="307">
        <v>27430</v>
      </c>
      <c r="H110" s="307">
        <v>28360</v>
      </c>
      <c r="I110" s="307">
        <v>28020</v>
      </c>
      <c r="J110" s="307">
        <v>28740</v>
      </c>
      <c r="K110" s="307">
        <v>29860</v>
      </c>
      <c r="L110" s="307">
        <v>30740</v>
      </c>
      <c r="M110" s="307">
        <v>29970</v>
      </c>
      <c r="N110" s="307">
        <v>30630</v>
      </c>
      <c r="O110" s="307">
        <v>29920</v>
      </c>
      <c r="P110" s="307">
        <v>29170</v>
      </c>
      <c r="Q110" s="307">
        <v>29180</v>
      </c>
      <c r="R110" s="307">
        <v>29260</v>
      </c>
      <c r="S110" s="307">
        <v>29390</v>
      </c>
      <c r="T110" s="307">
        <v>29560</v>
      </c>
      <c r="U110" s="307">
        <v>29740</v>
      </c>
      <c r="V110" s="307">
        <v>29930</v>
      </c>
      <c r="W110" s="307">
        <v>30110</v>
      </c>
      <c r="X110" s="307">
        <v>30270</v>
      </c>
      <c r="Y110" s="307">
        <v>30410</v>
      </c>
      <c r="Z110" s="307">
        <v>30520</v>
      </c>
      <c r="AA110" s="307">
        <v>30610</v>
      </c>
      <c r="AB110" s="307">
        <v>30660</v>
      </c>
      <c r="AC110" s="307">
        <v>30690</v>
      </c>
      <c r="AD110" s="307">
        <v>30680</v>
      </c>
      <c r="AE110" s="307">
        <v>30660</v>
      </c>
      <c r="AF110" s="307">
        <v>30610</v>
      </c>
      <c r="AG110" s="307">
        <v>30540</v>
      </c>
      <c r="AH110" s="307">
        <v>30460</v>
      </c>
      <c r="AI110" s="307">
        <v>30380</v>
      </c>
      <c r="AJ110" s="307">
        <v>30300</v>
      </c>
      <c r="AK110" s="307">
        <v>30240</v>
      </c>
      <c r="AL110" s="307">
        <v>30200</v>
      </c>
      <c r="AM110" s="307">
        <v>30200</v>
      </c>
      <c r="AN110" s="307">
        <v>30220</v>
      </c>
      <c r="AO110" s="307">
        <v>30290</v>
      </c>
      <c r="AP110" s="307">
        <v>30360</v>
      </c>
      <c r="AQ110" s="307">
        <v>30460</v>
      </c>
      <c r="AR110" s="307">
        <v>30560</v>
      </c>
      <c r="AS110" s="307">
        <v>30650</v>
      </c>
      <c r="AT110" s="307">
        <v>30750</v>
      </c>
      <c r="AU110" s="307">
        <v>30830</v>
      </c>
      <c r="AV110" s="307">
        <v>30900</v>
      </c>
      <c r="AW110" s="307">
        <v>30970</v>
      </c>
      <c r="AX110" s="307">
        <v>31040</v>
      </c>
      <c r="AY110" s="307">
        <v>31100</v>
      </c>
      <c r="AZ110" s="307">
        <v>31160</v>
      </c>
      <c r="BA110" s="307">
        <v>31220</v>
      </c>
      <c r="BB110" s="307">
        <v>31270</v>
      </c>
      <c r="BC110" s="307">
        <v>31330</v>
      </c>
      <c r="BD110" s="307">
        <v>31380</v>
      </c>
      <c r="BE110" s="307">
        <v>31430</v>
      </c>
      <c r="BF110" s="307">
        <v>31480</v>
      </c>
    </row>
    <row r="111" spans="1:58" x14ac:dyDescent="0.2">
      <c r="A111" s="308" t="s">
        <v>13</v>
      </c>
      <c r="B111" s="305"/>
      <c r="C111" s="307">
        <v>28620</v>
      </c>
      <c r="D111" s="307">
        <v>28050</v>
      </c>
      <c r="E111" s="307">
        <v>29030</v>
      </c>
      <c r="F111" s="307">
        <v>28410</v>
      </c>
      <c r="G111" s="307">
        <v>27510</v>
      </c>
      <c r="H111" s="307">
        <v>27370</v>
      </c>
      <c r="I111" s="307">
        <v>28250</v>
      </c>
      <c r="J111" s="307">
        <v>27930</v>
      </c>
      <c r="K111" s="307">
        <v>28680</v>
      </c>
      <c r="L111" s="307">
        <v>29830</v>
      </c>
      <c r="M111" s="307">
        <v>30700</v>
      </c>
      <c r="N111" s="307">
        <v>29930</v>
      </c>
      <c r="O111" s="307">
        <v>30600</v>
      </c>
      <c r="P111" s="307">
        <v>29880</v>
      </c>
      <c r="Q111" s="307">
        <v>29130</v>
      </c>
      <c r="R111" s="307">
        <v>29140</v>
      </c>
      <c r="S111" s="307">
        <v>29220</v>
      </c>
      <c r="T111" s="307">
        <v>29350</v>
      </c>
      <c r="U111" s="307">
        <v>29520</v>
      </c>
      <c r="V111" s="307">
        <v>29710</v>
      </c>
      <c r="W111" s="307">
        <v>29890</v>
      </c>
      <c r="X111" s="307">
        <v>30070</v>
      </c>
      <c r="Y111" s="307">
        <v>30240</v>
      </c>
      <c r="Z111" s="307">
        <v>30370</v>
      </c>
      <c r="AA111" s="307">
        <v>30490</v>
      </c>
      <c r="AB111" s="307">
        <v>30570</v>
      </c>
      <c r="AC111" s="307">
        <v>30630</v>
      </c>
      <c r="AD111" s="307">
        <v>30650</v>
      </c>
      <c r="AE111" s="307">
        <v>30650</v>
      </c>
      <c r="AF111" s="307">
        <v>30620</v>
      </c>
      <c r="AG111" s="307">
        <v>30570</v>
      </c>
      <c r="AH111" s="307">
        <v>30500</v>
      </c>
      <c r="AI111" s="307">
        <v>30420</v>
      </c>
      <c r="AJ111" s="307">
        <v>30340</v>
      </c>
      <c r="AK111" s="307">
        <v>30260</v>
      </c>
      <c r="AL111" s="307">
        <v>30200</v>
      </c>
      <c r="AM111" s="307">
        <v>30170</v>
      </c>
      <c r="AN111" s="307">
        <v>30160</v>
      </c>
      <c r="AO111" s="307">
        <v>30190</v>
      </c>
      <c r="AP111" s="307">
        <v>30250</v>
      </c>
      <c r="AQ111" s="307">
        <v>30330</v>
      </c>
      <c r="AR111" s="307">
        <v>30420</v>
      </c>
      <c r="AS111" s="307">
        <v>30520</v>
      </c>
      <c r="AT111" s="307">
        <v>30620</v>
      </c>
      <c r="AU111" s="307">
        <v>30710</v>
      </c>
      <c r="AV111" s="307">
        <v>30790</v>
      </c>
      <c r="AW111" s="307">
        <v>30870</v>
      </c>
      <c r="AX111" s="307">
        <v>30940</v>
      </c>
      <c r="AY111" s="307">
        <v>31000</v>
      </c>
      <c r="AZ111" s="307">
        <v>31060</v>
      </c>
      <c r="BA111" s="307">
        <v>31120</v>
      </c>
      <c r="BB111" s="307">
        <v>31180</v>
      </c>
      <c r="BC111" s="307">
        <v>31240</v>
      </c>
      <c r="BD111" s="307">
        <v>31290</v>
      </c>
      <c r="BE111" s="307">
        <v>31340</v>
      </c>
      <c r="BF111" s="307">
        <v>31400</v>
      </c>
    </row>
    <row r="112" spans="1:58" x14ac:dyDescent="0.2">
      <c r="A112" s="308" t="s">
        <v>14</v>
      </c>
      <c r="B112" s="305"/>
      <c r="C112" s="307">
        <v>28770</v>
      </c>
      <c r="D112" s="307">
        <v>28700</v>
      </c>
      <c r="E112" s="307">
        <v>28050</v>
      </c>
      <c r="F112" s="307">
        <v>29080</v>
      </c>
      <c r="G112" s="307">
        <v>28420</v>
      </c>
      <c r="H112" s="307">
        <v>27480</v>
      </c>
      <c r="I112" s="307">
        <v>27260</v>
      </c>
      <c r="J112" s="307">
        <v>28160</v>
      </c>
      <c r="K112" s="307">
        <v>27870</v>
      </c>
      <c r="L112" s="307">
        <v>28640</v>
      </c>
      <c r="M112" s="307">
        <v>29790</v>
      </c>
      <c r="N112" s="307">
        <v>30660</v>
      </c>
      <c r="O112" s="307">
        <v>29890</v>
      </c>
      <c r="P112" s="307">
        <v>30560</v>
      </c>
      <c r="Q112" s="307">
        <v>29840</v>
      </c>
      <c r="R112" s="307">
        <v>29090</v>
      </c>
      <c r="S112" s="307">
        <v>29100</v>
      </c>
      <c r="T112" s="307">
        <v>29180</v>
      </c>
      <c r="U112" s="307">
        <v>29310</v>
      </c>
      <c r="V112" s="307">
        <v>29480</v>
      </c>
      <c r="W112" s="307">
        <v>29670</v>
      </c>
      <c r="X112" s="307">
        <v>29850</v>
      </c>
      <c r="Y112" s="307">
        <v>30030</v>
      </c>
      <c r="Z112" s="307">
        <v>30200</v>
      </c>
      <c r="AA112" s="307">
        <v>30340</v>
      </c>
      <c r="AB112" s="307">
        <v>30450</v>
      </c>
      <c r="AC112" s="307">
        <v>30530</v>
      </c>
      <c r="AD112" s="307">
        <v>30590</v>
      </c>
      <c r="AE112" s="307">
        <v>30610</v>
      </c>
      <c r="AF112" s="307">
        <v>30610</v>
      </c>
      <c r="AG112" s="307">
        <v>30580</v>
      </c>
      <c r="AH112" s="307">
        <v>30540</v>
      </c>
      <c r="AI112" s="307">
        <v>30470</v>
      </c>
      <c r="AJ112" s="307">
        <v>30390</v>
      </c>
      <c r="AK112" s="307">
        <v>30300</v>
      </c>
      <c r="AL112" s="307">
        <v>30230</v>
      </c>
      <c r="AM112" s="307">
        <v>30160</v>
      </c>
      <c r="AN112" s="307">
        <v>30130</v>
      </c>
      <c r="AO112" s="307">
        <v>30120</v>
      </c>
      <c r="AP112" s="307">
        <v>30150</v>
      </c>
      <c r="AQ112" s="307">
        <v>30210</v>
      </c>
      <c r="AR112" s="307">
        <v>30290</v>
      </c>
      <c r="AS112" s="307">
        <v>30380</v>
      </c>
      <c r="AT112" s="307">
        <v>30480</v>
      </c>
      <c r="AU112" s="307">
        <v>30580</v>
      </c>
      <c r="AV112" s="307">
        <v>30670</v>
      </c>
      <c r="AW112" s="307">
        <v>30760</v>
      </c>
      <c r="AX112" s="307">
        <v>30830</v>
      </c>
      <c r="AY112" s="307">
        <v>30900</v>
      </c>
      <c r="AZ112" s="307">
        <v>30970</v>
      </c>
      <c r="BA112" s="307">
        <v>31030</v>
      </c>
      <c r="BB112" s="307">
        <v>31080</v>
      </c>
      <c r="BC112" s="307">
        <v>31140</v>
      </c>
      <c r="BD112" s="307">
        <v>31200</v>
      </c>
      <c r="BE112" s="307">
        <v>31250</v>
      </c>
      <c r="BF112" s="307">
        <v>31310</v>
      </c>
    </row>
    <row r="113" spans="1:58" x14ac:dyDescent="0.2">
      <c r="A113" s="308" t="s">
        <v>15</v>
      </c>
      <c r="B113" s="305"/>
      <c r="C113" s="307">
        <v>29250</v>
      </c>
      <c r="D113" s="307">
        <v>28830</v>
      </c>
      <c r="E113" s="307">
        <v>28670</v>
      </c>
      <c r="F113" s="307">
        <v>28080</v>
      </c>
      <c r="G113" s="307">
        <v>29130</v>
      </c>
      <c r="H113" s="307">
        <v>28380</v>
      </c>
      <c r="I113" s="307">
        <v>27370</v>
      </c>
      <c r="J113" s="307">
        <v>27160</v>
      </c>
      <c r="K113" s="307">
        <v>28090</v>
      </c>
      <c r="L113" s="307">
        <v>27820</v>
      </c>
      <c r="M113" s="307">
        <v>28600</v>
      </c>
      <c r="N113" s="307">
        <v>29750</v>
      </c>
      <c r="O113" s="307">
        <v>30620</v>
      </c>
      <c r="P113" s="307">
        <v>29850</v>
      </c>
      <c r="Q113" s="307">
        <v>30520</v>
      </c>
      <c r="R113" s="307">
        <v>29800</v>
      </c>
      <c r="S113" s="307">
        <v>29050</v>
      </c>
      <c r="T113" s="307">
        <v>29060</v>
      </c>
      <c r="U113" s="307">
        <v>29140</v>
      </c>
      <c r="V113" s="307">
        <v>29270</v>
      </c>
      <c r="W113" s="307">
        <v>29440</v>
      </c>
      <c r="X113" s="307">
        <v>29630</v>
      </c>
      <c r="Y113" s="307">
        <v>29810</v>
      </c>
      <c r="Z113" s="307">
        <v>29990</v>
      </c>
      <c r="AA113" s="307">
        <v>30160</v>
      </c>
      <c r="AB113" s="307">
        <v>30300</v>
      </c>
      <c r="AC113" s="307">
        <v>30410</v>
      </c>
      <c r="AD113" s="307">
        <v>30490</v>
      </c>
      <c r="AE113" s="307">
        <v>30550</v>
      </c>
      <c r="AF113" s="307">
        <v>30570</v>
      </c>
      <c r="AG113" s="307">
        <v>30570</v>
      </c>
      <c r="AH113" s="307">
        <v>30550</v>
      </c>
      <c r="AI113" s="307">
        <v>30500</v>
      </c>
      <c r="AJ113" s="307">
        <v>30430</v>
      </c>
      <c r="AK113" s="307">
        <v>30350</v>
      </c>
      <c r="AL113" s="307">
        <v>30260</v>
      </c>
      <c r="AM113" s="307">
        <v>30190</v>
      </c>
      <c r="AN113" s="307">
        <v>30130</v>
      </c>
      <c r="AO113" s="307">
        <v>30090</v>
      </c>
      <c r="AP113" s="307">
        <v>30080</v>
      </c>
      <c r="AQ113" s="307">
        <v>30110</v>
      </c>
      <c r="AR113" s="307">
        <v>30170</v>
      </c>
      <c r="AS113" s="307">
        <v>30250</v>
      </c>
      <c r="AT113" s="307">
        <v>30350</v>
      </c>
      <c r="AU113" s="307">
        <v>30440</v>
      </c>
      <c r="AV113" s="307">
        <v>30540</v>
      </c>
      <c r="AW113" s="307">
        <v>30630</v>
      </c>
      <c r="AX113" s="307">
        <v>30720</v>
      </c>
      <c r="AY113" s="307">
        <v>30790</v>
      </c>
      <c r="AZ113" s="307">
        <v>30860</v>
      </c>
      <c r="BA113" s="307">
        <v>30930</v>
      </c>
      <c r="BB113" s="307">
        <v>30990</v>
      </c>
      <c r="BC113" s="307">
        <v>31050</v>
      </c>
      <c r="BD113" s="307">
        <v>31100</v>
      </c>
      <c r="BE113" s="307">
        <v>31160</v>
      </c>
      <c r="BF113" s="307">
        <v>31220</v>
      </c>
    </row>
    <row r="114" spans="1:58" x14ac:dyDescent="0.2">
      <c r="A114" s="308" t="s">
        <v>16</v>
      </c>
      <c r="B114" s="305"/>
      <c r="C114" s="307">
        <v>29970</v>
      </c>
      <c r="D114" s="307">
        <v>29320</v>
      </c>
      <c r="E114" s="307">
        <v>28830</v>
      </c>
      <c r="F114" s="307">
        <v>28640</v>
      </c>
      <c r="G114" s="307">
        <v>28070</v>
      </c>
      <c r="H114" s="307">
        <v>29090</v>
      </c>
      <c r="I114" s="307">
        <v>28270</v>
      </c>
      <c r="J114" s="307">
        <v>27270</v>
      </c>
      <c r="K114" s="307">
        <v>27090</v>
      </c>
      <c r="L114" s="307">
        <v>28050</v>
      </c>
      <c r="M114" s="307">
        <v>27780</v>
      </c>
      <c r="N114" s="307">
        <v>28560</v>
      </c>
      <c r="O114" s="307">
        <v>29700</v>
      </c>
      <c r="P114" s="307">
        <v>30580</v>
      </c>
      <c r="Q114" s="307">
        <v>29810</v>
      </c>
      <c r="R114" s="307">
        <v>30480</v>
      </c>
      <c r="S114" s="307">
        <v>29760</v>
      </c>
      <c r="T114" s="307">
        <v>29010</v>
      </c>
      <c r="U114" s="307">
        <v>29020</v>
      </c>
      <c r="V114" s="307">
        <v>29100</v>
      </c>
      <c r="W114" s="307">
        <v>29230</v>
      </c>
      <c r="X114" s="307">
        <v>29400</v>
      </c>
      <c r="Y114" s="307">
        <v>29590</v>
      </c>
      <c r="Z114" s="307">
        <v>29770</v>
      </c>
      <c r="AA114" s="307">
        <v>29950</v>
      </c>
      <c r="AB114" s="307">
        <v>30120</v>
      </c>
      <c r="AC114" s="307">
        <v>30260</v>
      </c>
      <c r="AD114" s="307">
        <v>30370</v>
      </c>
      <c r="AE114" s="307">
        <v>30450</v>
      </c>
      <c r="AF114" s="307">
        <v>30510</v>
      </c>
      <c r="AG114" s="307">
        <v>30530</v>
      </c>
      <c r="AH114" s="307">
        <v>30530</v>
      </c>
      <c r="AI114" s="307">
        <v>30500</v>
      </c>
      <c r="AJ114" s="307">
        <v>30450</v>
      </c>
      <c r="AK114" s="307">
        <v>30390</v>
      </c>
      <c r="AL114" s="307">
        <v>30310</v>
      </c>
      <c r="AM114" s="307">
        <v>30220</v>
      </c>
      <c r="AN114" s="307">
        <v>30150</v>
      </c>
      <c r="AO114" s="307">
        <v>30090</v>
      </c>
      <c r="AP114" s="307">
        <v>30050</v>
      </c>
      <c r="AQ114" s="307">
        <v>30040</v>
      </c>
      <c r="AR114" s="307">
        <v>30070</v>
      </c>
      <c r="AS114" s="307">
        <v>30130</v>
      </c>
      <c r="AT114" s="307">
        <v>30210</v>
      </c>
      <c r="AU114" s="307">
        <v>30310</v>
      </c>
      <c r="AV114" s="307">
        <v>30400</v>
      </c>
      <c r="AW114" s="307">
        <v>30500</v>
      </c>
      <c r="AX114" s="307">
        <v>30590</v>
      </c>
      <c r="AY114" s="307">
        <v>30680</v>
      </c>
      <c r="AZ114" s="307">
        <v>30750</v>
      </c>
      <c r="BA114" s="307">
        <v>30820</v>
      </c>
      <c r="BB114" s="307">
        <v>30890</v>
      </c>
      <c r="BC114" s="307">
        <v>30950</v>
      </c>
      <c r="BD114" s="307">
        <v>31010</v>
      </c>
      <c r="BE114" s="307">
        <v>31060</v>
      </c>
      <c r="BF114" s="307">
        <v>31120</v>
      </c>
    </row>
    <row r="115" spans="1:58" x14ac:dyDescent="0.2">
      <c r="A115" s="308" t="s">
        <v>17</v>
      </c>
      <c r="B115" s="305"/>
      <c r="C115" s="307">
        <v>29990</v>
      </c>
      <c r="D115" s="307">
        <v>30050</v>
      </c>
      <c r="E115" s="307">
        <v>29330</v>
      </c>
      <c r="F115" s="307">
        <v>28830</v>
      </c>
      <c r="G115" s="307">
        <v>28670</v>
      </c>
      <c r="H115" s="307">
        <v>28040</v>
      </c>
      <c r="I115" s="307">
        <v>28980</v>
      </c>
      <c r="J115" s="307">
        <v>28170</v>
      </c>
      <c r="K115" s="307">
        <v>27210</v>
      </c>
      <c r="L115" s="307">
        <v>27050</v>
      </c>
      <c r="M115" s="307">
        <v>28010</v>
      </c>
      <c r="N115" s="307">
        <v>27740</v>
      </c>
      <c r="O115" s="307">
        <v>28510</v>
      </c>
      <c r="P115" s="307">
        <v>29660</v>
      </c>
      <c r="Q115" s="307">
        <v>30530</v>
      </c>
      <c r="R115" s="307">
        <v>29770</v>
      </c>
      <c r="S115" s="307">
        <v>30430</v>
      </c>
      <c r="T115" s="307">
        <v>29710</v>
      </c>
      <c r="U115" s="307">
        <v>28970</v>
      </c>
      <c r="V115" s="307">
        <v>28980</v>
      </c>
      <c r="W115" s="307">
        <v>29060</v>
      </c>
      <c r="X115" s="307">
        <v>29190</v>
      </c>
      <c r="Y115" s="307">
        <v>29360</v>
      </c>
      <c r="Z115" s="307">
        <v>29540</v>
      </c>
      <c r="AA115" s="307">
        <v>29730</v>
      </c>
      <c r="AB115" s="307">
        <v>29910</v>
      </c>
      <c r="AC115" s="307">
        <v>30070</v>
      </c>
      <c r="AD115" s="307">
        <v>30210</v>
      </c>
      <c r="AE115" s="307">
        <v>30330</v>
      </c>
      <c r="AF115" s="307">
        <v>30410</v>
      </c>
      <c r="AG115" s="307">
        <v>30460</v>
      </c>
      <c r="AH115" s="307">
        <v>30490</v>
      </c>
      <c r="AI115" s="307">
        <v>30490</v>
      </c>
      <c r="AJ115" s="307">
        <v>30460</v>
      </c>
      <c r="AK115" s="307">
        <v>30410</v>
      </c>
      <c r="AL115" s="307">
        <v>30340</v>
      </c>
      <c r="AM115" s="307">
        <v>30260</v>
      </c>
      <c r="AN115" s="307">
        <v>30180</v>
      </c>
      <c r="AO115" s="307">
        <v>30100</v>
      </c>
      <c r="AP115" s="307">
        <v>30040</v>
      </c>
      <c r="AQ115" s="307">
        <v>30010</v>
      </c>
      <c r="AR115" s="307">
        <v>30000</v>
      </c>
      <c r="AS115" s="307">
        <v>30030</v>
      </c>
      <c r="AT115" s="307">
        <v>30090</v>
      </c>
      <c r="AU115" s="307">
        <v>30170</v>
      </c>
      <c r="AV115" s="307">
        <v>30260</v>
      </c>
      <c r="AW115" s="307">
        <v>30360</v>
      </c>
      <c r="AX115" s="307">
        <v>30460</v>
      </c>
      <c r="AY115" s="307">
        <v>30550</v>
      </c>
      <c r="AZ115" s="307">
        <v>30640</v>
      </c>
      <c r="BA115" s="307">
        <v>30710</v>
      </c>
      <c r="BB115" s="307">
        <v>30780</v>
      </c>
      <c r="BC115" s="307">
        <v>30840</v>
      </c>
      <c r="BD115" s="307">
        <v>30910</v>
      </c>
      <c r="BE115" s="307">
        <v>30960</v>
      </c>
      <c r="BF115" s="307">
        <v>31020</v>
      </c>
    </row>
    <row r="116" spans="1:58" x14ac:dyDescent="0.2">
      <c r="A116" s="308" t="s">
        <v>18</v>
      </c>
      <c r="B116" s="305"/>
      <c r="C116" s="307">
        <v>30750</v>
      </c>
      <c r="D116" s="307">
        <v>30070</v>
      </c>
      <c r="E116" s="307">
        <v>30040</v>
      </c>
      <c r="F116" s="307">
        <v>29340</v>
      </c>
      <c r="G116" s="307">
        <v>28880</v>
      </c>
      <c r="H116" s="307">
        <v>28640</v>
      </c>
      <c r="I116" s="307">
        <v>27920</v>
      </c>
      <c r="J116" s="307">
        <v>28880</v>
      </c>
      <c r="K116" s="307">
        <v>28110</v>
      </c>
      <c r="L116" s="307">
        <v>27160</v>
      </c>
      <c r="M116" s="307">
        <v>27010</v>
      </c>
      <c r="N116" s="307">
        <v>27960</v>
      </c>
      <c r="O116" s="307">
        <v>27690</v>
      </c>
      <c r="P116" s="307">
        <v>28470</v>
      </c>
      <c r="Q116" s="307">
        <v>29620</v>
      </c>
      <c r="R116" s="307">
        <v>30490</v>
      </c>
      <c r="S116" s="307">
        <v>29720</v>
      </c>
      <c r="T116" s="307">
        <v>30390</v>
      </c>
      <c r="U116" s="307">
        <v>29670</v>
      </c>
      <c r="V116" s="307">
        <v>28920</v>
      </c>
      <c r="W116" s="307">
        <v>28930</v>
      </c>
      <c r="X116" s="307">
        <v>29010</v>
      </c>
      <c r="Y116" s="307">
        <v>29140</v>
      </c>
      <c r="Z116" s="307">
        <v>29320</v>
      </c>
      <c r="AA116" s="307">
        <v>29500</v>
      </c>
      <c r="AB116" s="307">
        <v>29690</v>
      </c>
      <c r="AC116" s="307">
        <v>29870</v>
      </c>
      <c r="AD116" s="307">
        <v>30030</v>
      </c>
      <c r="AE116" s="307">
        <v>30170</v>
      </c>
      <c r="AF116" s="307">
        <v>30280</v>
      </c>
      <c r="AG116" s="307">
        <v>30370</v>
      </c>
      <c r="AH116" s="307">
        <v>30420</v>
      </c>
      <c r="AI116" s="307">
        <v>30450</v>
      </c>
      <c r="AJ116" s="307">
        <v>30440</v>
      </c>
      <c r="AK116" s="307">
        <v>30420</v>
      </c>
      <c r="AL116" s="307">
        <v>30370</v>
      </c>
      <c r="AM116" s="307">
        <v>30300</v>
      </c>
      <c r="AN116" s="307">
        <v>30220</v>
      </c>
      <c r="AO116" s="307">
        <v>30140</v>
      </c>
      <c r="AP116" s="307">
        <v>30060</v>
      </c>
      <c r="AQ116" s="307">
        <v>30000</v>
      </c>
      <c r="AR116" s="307">
        <v>29960</v>
      </c>
      <c r="AS116" s="307">
        <v>29960</v>
      </c>
      <c r="AT116" s="307">
        <v>29990</v>
      </c>
      <c r="AU116" s="307">
        <v>30050</v>
      </c>
      <c r="AV116" s="307">
        <v>30130</v>
      </c>
      <c r="AW116" s="307">
        <v>30220</v>
      </c>
      <c r="AX116" s="307">
        <v>30320</v>
      </c>
      <c r="AY116" s="307">
        <v>30420</v>
      </c>
      <c r="AZ116" s="307">
        <v>30510</v>
      </c>
      <c r="BA116" s="307">
        <v>30590</v>
      </c>
      <c r="BB116" s="307">
        <v>30670</v>
      </c>
      <c r="BC116" s="307">
        <v>30740</v>
      </c>
      <c r="BD116" s="307">
        <v>30800</v>
      </c>
      <c r="BE116" s="307">
        <v>30860</v>
      </c>
      <c r="BF116" s="307">
        <v>30920</v>
      </c>
    </row>
    <row r="117" spans="1:58" x14ac:dyDescent="0.2">
      <c r="A117" s="308" t="s">
        <v>19</v>
      </c>
      <c r="B117" s="305"/>
      <c r="C117" s="307">
        <v>30960</v>
      </c>
      <c r="D117" s="307">
        <v>30820</v>
      </c>
      <c r="E117" s="307">
        <v>30090</v>
      </c>
      <c r="F117" s="307">
        <v>30070</v>
      </c>
      <c r="G117" s="307">
        <v>29450</v>
      </c>
      <c r="H117" s="307">
        <v>28860</v>
      </c>
      <c r="I117" s="307">
        <v>28570</v>
      </c>
      <c r="J117" s="307">
        <v>27870</v>
      </c>
      <c r="K117" s="307">
        <v>28850</v>
      </c>
      <c r="L117" s="307">
        <v>28110</v>
      </c>
      <c r="M117" s="307">
        <v>27170</v>
      </c>
      <c r="N117" s="307">
        <v>27010</v>
      </c>
      <c r="O117" s="307">
        <v>27970</v>
      </c>
      <c r="P117" s="307">
        <v>27700</v>
      </c>
      <c r="Q117" s="307">
        <v>28470</v>
      </c>
      <c r="R117" s="307">
        <v>29620</v>
      </c>
      <c r="S117" s="307">
        <v>30490</v>
      </c>
      <c r="T117" s="307">
        <v>29730</v>
      </c>
      <c r="U117" s="307">
        <v>30390</v>
      </c>
      <c r="V117" s="307">
        <v>29670</v>
      </c>
      <c r="W117" s="307">
        <v>28930</v>
      </c>
      <c r="X117" s="307">
        <v>28940</v>
      </c>
      <c r="Y117" s="307">
        <v>29020</v>
      </c>
      <c r="Z117" s="307">
        <v>29150</v>
      </c>
      <c r="AA117" s="307">
        <v>29320</v>
      </c>
      <c r="AB117" s="307">
        <v>29500</v>
      </c>
      <c r="AC117" s="307">
        <v>29690</v>
      </c>
      <c r="AD117" s="307">
        <v>29870</v>
      </c>
      <c r="AE117" s="307">
        <v>30040</v>
      </c>
      <c r="AF117" s="307">
        <v>30170</v>
      </c>
      <c r="AG117" s="307">
        <v>30290</v>
      </c>
      <c r="AH117" s="307">
        <v>30370</v>
      </c>
      <c r="AI117" s="307">
        <v>30430</v>
      </c>
      <c r="AJ117" s="307">
        <v>30450</v>
      </c>
      <c r="AK117" s="307">
        <v>30450</v>
      </c>
      <c r="AL117" s="307">
        <v>30420</v>
      </c>
      <c r="AM117" s="307">
        <v>30370</v>
      </c>
      <c r="AN117" s="307">
        <v>30310</v>
      </c>
      <c r="AO117" s="307">
        <v>30230</v>
      </c>
      <c r="AP117" s="307">
        <v>30140</v>
      </c>
      <c r="AQ117" s="307">
        <v>30070</v>
      </c>
      <c r="AR117" s="307">
        <v>30010</v>
      </c>
      <c r="AS117" s="307">
        <v>29970</v>
      </c>
      <c r="AT117" s="307">
        <v>29960</v>
      </c>
      <c r="AU117" s="307">
        <v>29990</v>
      </c>
      <c r="AV117" s="307">
        <v>30050</v>
      </c>
      <c r="AW117" s="307">
        <v>30130</v>
      </c>
      <c r="AX117" s="307">
        <v>30230</v>
      </c>
      <c r="AY117" s="307">
        <v>30330</v>
      </c>
      <c r="AZ117" s="307">
        <v>30420</v>
      </c>
      <c r="BA117" s="307">
        <v>30520</v>
      </c>
      <c r="BB117" s="307">
        <v>30600</v>
      </c>
      <c r="BC117" s="307">
        <v>30680</v>
      </c>
      <c r="BD117" s="307">
        <v>30740</v>
      </c>
      <c r="BE117" s="307">
        <v>30810</v>
      </c>
      <c r="BF117" s="307">
        <v>30870</v>
      </c>
    </row>
    <row r="118" spans="1:58" x14ac:dyDescent="0.2">
      <c r="A118" s="308" t="s">
        <v>20</v>
      </c>
      <c r="B118" s="305"/>
      <c r="C118" s="307">
        <v>32030</v>
      </c>
      <c r="D118" s="307">
        <v>31160</v>
      </c>
      <c r="E118" s="307">
        <v>30910</v>
      </c>
      <c r="F118" s="307">
        <v>30170</v>
      </c>
      <c r="G118" s="307">
        <v>30280</v>
      </c>
      <c r="H118" s="307">
        <v>29550</v>
      </c>
      <c r="I118" s="307">
        <v>28930</v>
      </c>
      <c r="J118" s="307">
        <v>28650</v>
      </c>
      <c r="K118" s="307">
        <v>27990</v>
      </c>
      <c r="L118" s="307">
        <v>29000</v>
      </c>
      <c r="M118" s="307">
        <v>28250</v>
      </c>
      <c r="N118" s="307">
        <v>27310</v>
      </c>
      <c r="O118" s="307">
        <v>27160</v>
      </c>
      <c r="P118" s="307">
        <v>28110</v>
      </c>
      <c r="Q118" s="307">
        <v>27840</v>
      </c>
      <c r="R118" s="307">
        <v>28620</v>
      </c>
      <c r="S118" s="307">
        <v>29770</v>
      </c>
      <c r="T118" s="307">
        <v>30640</v>
      </c>
      <c r="U118" s="307">
        <v>29870</v>
      </c>
      <c r="V118" s="307">
        <v>30540</v>
      </c>
      <c r="W118" s="307">
        <v>29820</v>
      </c>
      <c r="X118" s="307">
        <v>29070</v>
      </c>
      <c r="Y118" s="307">
        <v>29080</v>
      </c>
      <c r="Z118" s="307">
        <v>29160</v>
      </c>
      <c r="AA118" s="307">
        <v>29290</v>
      </c>
      <c r="AB118" s="307">
        <v>29470</v>
      </c>
      <c r="AC118" s="307">
        <v>29650</v>
      </c>
      <c r="AD118" s="307">
        <v>29840</v>
      </c>
      <c r="AE118" s="307">
        <v>30020</v>
      </c>
      <c r="AF118" s="307">
        <v>30180</v>
      </c>
      <c r="AG118" s="307">
        <v>30320</v>
      </c>
      <c r="AH118" s="307">
        <v>30430</v>
      </c>
      <c r="AI118" s="307">
        <v>30520</v>
      </c>
      <c r="AJ118" s="307">
        <v>30570</v>
      </c>
      <c r="AK118" s="307">
        <v>30600</v>
      </c>
      <c r="AL118" s="307">
        <v>30600</v>
      </c>
      <c r="AM118" s="307">
        <v>30570</v>
      </c>
      <c r="AN118" s="307">
        <v>30520</v>
      </c>
      <c r="AO118" s="307">
        <v>30450</v>
      </c>
      <c r="AP118" s="307">
        <v>30370</v>
      </c>
      <c r="AQ118" s="307">
        <v>30290</v>
      </c>
      <c r="AR118" s="307">
        <v>30210</v>
      </c>
      <c r="AS118" s="307">
        <v>30150</v>
      </c>
      <c r="AT118" s="307">
        <v>30120</v>
      </c>
      <c r="AU118" s="307">
        <v>30110</v>
      </c>
      <c r="AV118" s="307">
        <v>30140</v>
      </c>
      <c r="AW118" s="307">
        <v>30200</v>
      </c>
      <c r="AX118" s="307">
        <v>30280</v>
      </c>
      <c r="AY118" s="307">
        <v>30370</v>
      </c>
      <c r="AZ118" s="307">
        <v>30470</v>
      </c>
      <c r="BA118" s="307">
        <v>30570</v>
      </c>
      <c r="BB118" s="307">
        <v>30660</v>
      </c>
      <c r="BC118" s="307">
        <v>30750</v>
      </c>
      <c r="BD118" s="307">
        <v>30820</v>
      </c>
      <c r="BE118" s="307">
        <v>30890</v>
      </c>
      <c r="BF118" s="307">
        <v>30960</v>
      </c>
    </row>
    <row r="119" spans="1:58" x14ac:dyDescent="0.2">
      <c r="A119" s="308" t="s">
        <v>21</v>
      </c>
      <c r="B119" s="305"/>
      <c r="C119" s="307">
        <v>31990</v>
      </c>
      <c r="D119" s="307">
        <v>32290</v>
      </c>
      <c r="E119" s="307">
        <v>31330</v>
      </c>
      <c r="F119" s="307">
        <v>31180</v>
      </c>
      <c r="G119" s="307">
        <v>30510</v>
      </c>
      <c r="H119" s="307">
        <v>30520</v>
      </c>
      <c r="I119" s="307">
        <v>29750</v>
      </c>
      <c r="J119" s="307">
        <v>29150</v>
      </c>
      <c r="K119" s="307">
        <v>28920</v>
      </c>
      <c r="L119" s="307">
        <v>28290</v>
      </c>
      <c r="M119" s="307">
        <v>29300</v>
      </c>
      <c r="N119" s="307">
        <v>28560</v>
      </c>
      <c r="O119" s="307">
        <v>27620</v>
      </c>
      <c r="P119" s="307">
        <v>27460</v>
      </c>
      <c r="Q119" s="307">
        <v>28420</v>
      </c>
      <c r="R119" s="307">
        <v>28150</v>
      </c>
      <c r="S119" s="307">
        <v>28920</v>
      </c>
      <c r="T119" s="307">
        <v>30070</v>
      </c>
      <c r="U119" s="307">
        <v>30940</v>
      </c>
      <c r="V119" s="307">
        <v>30180</v>
      </c>
      <c r="W119" s="307">
        <v>30840</v>
      </c>
      <c r="X119" s="307">
        <v>30130</v>
      </c>
      <c r="Y119" s="307">
        <v>29380</v>
      </c>
      <c r="Z119" s="307">
        <v>29390</v>
      </c>
      <c r="AA119" s="307">
        <v>29470</v>
      </c>
      <c r="AB119" s="307">
        <v>29600</v>
      </c>
      <c r="AC119" s="307">
        <v>29770</v>
      </c>
      <c r="AD119" s="307">
        <v>29960</v>
      </c>
      <c r="AE119" s="307">
        <v>30140</v>
      </c>
      <c r="AF119" s="307">
        <v>30320</v>
      </c>
      <c r="AG119" s="307">
        <v>30490</v>
      </c>
      <c r="AH119" s="307">
        <v>30630</v>
      </c>
      <c r="AI119" s="307">
        <v>30740</v>
      </c>
      <c r="AJ119" s="307">
        <v>30830</v>
      </c>
      <c r="AK119" s="307">
        <v>30880</v>
      </c>
      <c r="AL119" s="307">
        <v>30900</v>
      </c>
      <c r="AM119" s="307">
        <v>30900</v>
      </c>
      <c r="AN119" s="307">
        <v>30880</v>
      </c>
      <c r="AO119" s="307">
        <v>30830</v>
      </c>
      <c r="AP119" s="307">
        <v>30760</v>
      </c>
      <c r="AQ119" s="307">
        <v>30680</v>
      </c>
      <c r="AR119" s="307">
        <v>30600</v>
      </c>
      <c r="AS119" s="307">
        <v>30520</v>
      </c>
      <c r="AT119" s="307">
        <v>30460</v>
      </c>
      <c r="AU119" s="307">
        <v>30430</v>
      </c>
      <c r="AV119" s="307">
        <v>30420</v>
      </c>
      <c r="AW119" s="307">
        <v>30450</v>
      </c>
      <c r="AX119" s="307">
        <v>30510</v>
      </c>
      <c r="AY119" s="307">
        <v>30590</v>
      </c>
      <c r="AZ119" s="307">
        <v>30680</v>
      </c>
      <c r="BA119" s="307">
        <v>30780</v>
      </c>
      <c r="BB119" s="307">
        <v>30880</v>
      </c>
      <c r="BC119" s="307">
        <v>30970</v>
      </c>
      <c r="BD119" s="307">
        <v>31060</v>
      </c>
      <c r="BE119" s="307">
        <v>31130</v>
      </c>
      <c r="BF119" s="307">
        <v>31200</v>
      </c>
    </row>
    <row r="120" spans="1:58" x14ac:dyDescent="0.2">
      <c r="A120" s="308" t="s">
        <v>22</v>
      </c>
      <c r="B120" s="305"/>
      <c r="C120" s="307">
        <v>30880</v>
      </c>
      <c r="D120" s="307">
        <v>32240</v>
      </c>
      <c r="E120" s="307">
        <v>32480</v>
      </c>
      <c r="F120" s="307">
        <v>31610</v>
      </c>
      <c r="G120" s="307">
        <v>31480</v>
      </c>
      <c r="H120" s="307">
        <v>30730</v>
      </c>
      <c r="I120" s="307">
        <v>30620</v>
      </c>
      <c r="J120" s="307">
        <v>29880</v>
      </c>
      <c r="K120" s="307">
        <v>29340</v>
      </c>
      <c r="L120" s="307">
        <v>29140</v>
      </c>
      <c r="M120" s="307">
        <v>28520</v>
      </c>
      <c r="N120" s="307">
        <v>29530</v>
      </c>
      <c r="O120" s="307">
        <v>28780</v>
      </c>
      <c r="P120" s="307">
        <v>27840</v>
      </c>
      <c r="Q120" s="307">
        <v>27690</v>
      </c>
      <c r="R120" s="307">
        <v>28640</v>
      </c>
      <c r="S120" s="307">
        <v>28380</v>
      </c>
      <c r="T120" s="307">
        <v>29150</v>
      </c>
      <c r="U120" s="307">
        <v>30300</v>
      </c>
      <c r="V120" s="307">
        <v>31170</v>
      </c>
      <c r="W120" s="307">
        <v>30400</v>
      </c>
      <c r="X120" s="307">
        <v>31070</v>
      </c>
      <c r="Y120" s="307">
        <v>30350</v>
      </c>
      <c r="Z120" s="307">
        <v>29600</v>
      </c>
      <c r="AA120" s="307">
        <v>29620</v>
      </c>
      <c r="AB120" s="307">
        <v>29700</v>
      </c>
      <c r="AC120" s="307">
        <v>29830</v>
      </c>
      <c r="AD120" s="307">
        <v>30000</v>
      </c>
      <c r="AE120" s="307">
        <v>30180</v>
      </c>
      <c r="AF120" s="307">
        <v>30370</v>
      </c>
      <c r="AG120" s="307">
        <v>30550</v>
      </c>
      <c r="AH120" s="307">
        <v>30720</v>
      </c>
      <c r="AI120" s="307">
        <v>30860</v>
      </c>
      <c r="AJ120" s="307">
        <v>30970</v>
      </c>
      <c r="AK120" s="307">
        <v>31050</v>
      </c>
      <c r="AL120" s="307">
        <v>31110</v>
      </c>
      <c r="AM120" s="307">
        <v>31130</v>
      </c>
      <c r="AN120" s="307">
        <v>31130</v>
      </c>
      <c r="AO120" s="307">
        <v>31110</v>
      </c>
      <c r="AP120" s="307">
        <v>31060</v>
      </c>
      <c r="AQ120" s="307">
        <v>30990</v>
      </c>
      <c r="AR120" s="307">
        <v>30910</v>
      </c>
      <c r="AS120" s="307">
        <v>30830</v>
      </c>
      <c r="AT120" s="307">
        <v>30750</v>
      </c>
      <c r="AU120" s="307">
        <v>30690</v>
      </c>
      <c r="AV120" s="307">
        <v>30650</v>
      </c>
      <c r="AW120" s="307">
        <v>30650</v>
      </c>
      <c r="AX120" s="307">
        <v>30680</v>
      </c>
      <c r="AY120" s="307">
        <v>30740</v>
      </c>
      <c r="AZ120" s="307">
        <v>30820</v>
      </c>
      <c r="BA120" s="307">
        <v>30910</v>
      </c>
      <c r="BB120" s="307">
        <v>31010</v>
      </c>
      <c r="BC120" s="307">
        <v>31110</v>
      </c>
      <c r="BD120" s="307">
        <v>31200</v>
      </c>
      <c r="BE120" s="307">
        <v>31290</v>
      </c>
      <c r="BF120" s="307">
        <v>31360</v>
      </c>
    </row>
    <row r="121" spans="1:58" x14ac:dyDescent="0.2">
      <c r="A121" s="308" t="s">
        <v>23</v>
      </c>
      <c r="B121" s="305"/>
      <c r="C121" s="307">
        <v>30180</v>
      </c>
      <c r="D121" s="307">
        <v>30880</v>
      </c>
      <c r="E121" s="307">
        <v>32210</v>
      </c>
      <c r="F121" s="307">
        <v>32550</v>
      </c>
      <c r="G121" s="307">
        <v>31710</v>
      </c>
      <c r="H121" s="307">
        <v>31430</v>
      </c>
      <c r="I121" s="307">
        <v>30700</v>
      </c>
      <c r="J121" s="307">
        <v>30620</v>
      </c>
      <c r="K121" s="307">
        <v>29960</v>
      </c>
      <c r="L121" s="307">
        <v>29460</v>
      </c>
      <c r="M121" s="307">
        <v>29270</v>
      </c>
      <c r="N121" s="307">
        <v>28640</v>
      </c>
      <c r="O121" s="307">
        <v>29650</v>
      </c>
      <c r="P121" s="307">
        <v>28910</v>
      </c>
      <c r="Q121" s="307">
        <v>27970</v>
      </c>
      <c r="R121" s="307">
        <v>27810</v>
      </c>
      <c r="S121" s="307">
        <v>28770</v>
      </c>
      <c r="T121" s="307">
        <v>28500</v>
      </c>
      <c r="U121" s="307">
        <v>29270</v>
      </c>
      <c r="V121" s="307">
        <v>30420</v>
      </c>
      <c r="W121" s="307">
        <v>31290</v>
      </c>
      <c r="X121" s="307">
        <v>30530</v>
      </c>
      <c r="Y121" s="307">
        <v>31190</v>
      </c>
      <c r="Z121" s="307">
        <v>30480</v>
      </c>
      <c r="AA121" s="307">
        <v>29730</v>
      </c>
      <c r="AB121" s="307">
        <v>29740</v>
      </c>
      <c r="AC121" s="307">
        <v>29820</v>
      </c>
      <c r="AD121" s="307">
        <v>29950</v>
      </c>
      <c r="AE121" s="307">
        <v>30130</v>
      </c>
      <c r="AF121" s="307">
        <v>30310</v>
      </c>
      <c r="AG121" s="307">
        <v>30500</v>
      </c>
      <c r="AH121" s="307">
        <v>30680</v>
      </c>
      <c r="AI121" s="307">
        <v>30840</v>
      </c>
      <c r="AJ121" s="307">
        <v>30980</v>
      </c>
      <c r="AK121" s="307">
        <v>31090</v>
      </c>
      <c r="AL121" s="307">
        <v>31180</v>
      </c>
      <c r="AM121" s="307">
        <v>31230</v>
      </c>
      <c r="AN121" s="307">
        <v>31260</v>
      </c>
      <c r="AO121" s="307">
        <v>31260</v>
      </c>
      <c r="AP121" s="307">
        <v>31230</v>
      </c>
      <c r="AQ121" s="307">
        <v>31180</v>
      </c>
      <c r="AR121" s="307">
        <v>31120</v>
      </c>
      <c r="AS121" s="307">
        <v>31040</v>
      </c>
      <c r="AT121" s="307">
        <v>30960</v>
      </c>
      <c r="AU121" s="307">
        <v>30880</v>
      </c>
      <c r="AV121" s="307">
        <v>30820</v>
      </c>
      <c r="AW121" s="307">
        <v>30780</v>
      </c>
      <c r="AX121" s="307">
        <v>30780</v>
      </c>
      <c r="AY121" s="307">
        <v>30810</v>
      </c>
      <c r="AZ121" s="307">
        <v>30870</v>
      </c>
      <c r="BA121" s="307">
        <v>30950</v>
      </c>
      <c r="BB121" s="307">
        <v>31040</v>
      </c>
      <c r="BC121" s="307">
        <v>31140</v>
      </c>
      <c r="BD121" s="307">
        <v>31240</v>
      </c>
      <c r="BE121" s="307">
        <v>31330</v>
      </c>
      <c r="BF121" s="307">
        <v>31410</v>
      </c>
    </row>
    <row r="122" spans="1:58" x14ac:dyDescent="0.2">
      <c r="A122" s="308" t="s">
        <v>24</v>
      </c>
      <c r="B122" s="305"/>
      <c r="C122" s="307">
        <v>29070</v>
      </c>
      <c r="D122" s="307">
        <v>30220</v>
      </c>
      <c r="E122" s="307">
        <v>30910</v>
      </c>
      <c r="F122" s="307">
        <v>32380</v>
      </c>
      <c r="G122" s="307">
        <v>32900</v>
      </c>
      <c r="H122" s="307">
        <v>31810</v>
      </c>
      <c r="I122" s="307">
        <v>31530</v>
      </c>
      <c r="J122" s="307">
        <v>30830</v>
      </c>
      <c r="K122" s="307">
        <v>30850</v>
      </c>
      <c r="L122" s="307">
        <v>30240</v>
      </c>
      <c r="M122" s="307">
        <v>29750</v>
      </c>
      <c r="N122" s="307">
        <v>29560</v>
      </c>
      <c r="O122" s="307">
        <v>28930</v>
      </c>
      <c r="P122" s="307">
        <v>29940</v>
      </c>
      <c r="Q122" s="307">
        <v>29200</v>
      </c>
      <c r="R122" s="307">
        <v>28260</v>
      </c>
      <c r="S122" s="307">
        <v>28100</v>
      </c>
      <c r="T122" s="307">
        <v>29060</v>
      </c>
      <c r="U122" s="307">
        <v>28790</v>
      </c>
      <c r="V122" s="307">
        <v>29560</v>
      </c>
      <c r="W122" s="307">
        <v>30710</v>
      </c>
      <c r="X122" s="307">
        <v>31580</v>
      </c>
      <c r="Y122" s="307">
        <v>30820</v>
      </c>
      <c r="Z122" s="307">
        <v>31480</v>
      </c>
      <c r="AA122" s="307">
        <v>30770</v>
      </c>
      <c r="AB122" s="307">
        <v>30020</v>
      </c>
      <c r="AC122" s="307">
        <v>30030</v>
      </c>
      <c r="AD122" s="307">
        <v>30110</v>
      </c>
      <c r="AE122" s="307">
        <v>30250</v>
      </c>
      <c r="AF122" s="307">
        <v>30420</v>
      </c>
      <c r="AG122" s="307">
        <v>30600</v>
      </c>
      <c r="AH122" s="307">
        <v>30790</v>
      </c>
      <c r="AI122" s="307">
        <v>30970</v>
      </c>
      <c r="AJ122" s="307">
        <v>31130</v>
      </c>
      <c r="AK122" s="307">
        <v>31270</v>
      </c>
      <c r="AL122" s="307">
        <v>31390</v>
      </c>
      <c r="AM122" s="307">
        <v>31470</v>
      </c>
      <c r="AN122" s="307">
        <v>31530</v>
      </c>
      <c r="AO122" s="307">
        <v>31550</v>
      </c>
      <c r="AP122" s="307">
        <v>31550</v>
      </c>
      <c r="AQ122" s="307">
        <v>31530</v>
      </c>
      <c r="AR122" s="307">
        <v>31480</v>
      </c>
      <c r="AS122" s="307">
        <v>31410</v>
      </c>
      <c r="AT122" s="307">
        <v>31330</v>
      </c>
      <c r="AU122" s="307">
        <v>31250</v>
      </c>
      <c r="AV122" s="307">
        <v>31170</v>
      </c>
      <c r="AW122" s="307">
        <v>31110</v>
      </c>
      <c r="AX122" s="307">
        <v>31080</v>
      </c>
      <c r="AY122" s="307">
        <v>31070</v>
      </c>
      <c r="AZ122" s="307">
        <v>31100</v>
      </c>
      <c r="BA122" s="307">
        <v>31160</v>
      </c>
      <c r="BB122" s="307">
        <v>31240</v>
      </c>
      <c r="BC122" s="307">
        <v>31340</v>
      </c>
      <c r="BD122" s="307">
        <v>31430</v>
      </c>
      <c r="BE122" s="307">
        <v>31530</v>
      </c>
      <c r="BF122" s="307">
        <v>31630</v>
      </c>
    </row>
    <row r="123" spans="1:58" x14ac:dyDescent="0.2">
      <c r="A123" s="308" t="s">
        <v>25</v>
      </c>
      <c r="B123" s="305"/>
      <c r="C123" s="307">
        <v>29720</v>
      </c>
      <c r="D123" s="307">
        <v>29220</v>
      </c>
      <c r="E123" s="307">
        <v>30430</v>
      </c>
      <c r="F123" s="307">
        <v>31250</v>
      </c>
      <c r="G123" s="307">
        <v>32930</v>
      </c>
      <c r="H123" s="307">
        <v>33270</v>
      </c>
      <c r="I123" s="307">
        <v>31980</v>
      </c>
      <c r="J123" s="307">
        <v>31740</v>
      </c>
      <c r="K123" s="307">
        <v>31140</v>
      </c>
      <c r="L123" s="307">
        <v>31230</v>
      </c>
      <c r="M123" s="307">
        <v>30630</v>
      </c>
      <c r="N123" s="307">
        <v>30130</v>
      </c>
      <c r="O123" s="307">
        <v>29940</v>
      </c>
      <c r="P123" s="307">
        <v>29310</v>
      </c>
      <c r="Q123" s="307">
        <v>30320</v>
      </c>
      <c r="R123" s="307">
        <v>29580</v>
      </c>
      <c r="S123" s="307">
        <v>28640</v>
      </c>
      <c r="T123" s="307">
        <v>28490</v>
      </c>
      <c r="U123" s="307">
        <v>29440</v>
      </c>
      <c r="V123" s="307">
        <v>29170</v>
      </c>
      <c r="W123" s="307">
        <v>29950</v>
      </c>
      <c r="X123" s="307">
        <v>31090</v>
      </c>
      <c r="Y123" s="307">
        <v>31970</v>
      </c>
      <c r="Z123" s="307">
        <v>31200</v>
      </c>
      <c r="AA123" s="307">
        <v>31870</v>
      </c>
      <c r="AB123" s="307">
        <v>31150</v>
      </c>
      <c r="AC123" s="307">
        <v>30410</v>
      </c>
      <c r="AD123" s="307">
        <v>30420</v>
      </c>
      <c r="AE123" s="307">
        <v>30500</v>
      </c>
      <c r="AF123" s="307">
        <v>30630</v>
      </c>
      <c r="AG123" s="307">
        <v>30800</v>
      </c>
      <c r="AH123" s="307">
        <v>30990</v>
      </c>
      <c r="AI123" s="307">
        <v>31170</v>
      </c>
      <c r="AJ123" s="307">
        <v>31360</v>
      </c>
      <c r="AK123" s="307">
        <v>31520</v>
      </c>
      <c r="AL123" s="307">
        <v>31660</v>
      </c>
      <c r="AM123" s="307">
        <v>31770</v>
      </c>
      <c r="AN123" s="307">
        <v>31860</v>
      </c>
      <c r="AO123" s="307">
        <v>31910</v>
      </c>
      <c r="AP123" s="307">
        <v>31940</v>
      </c>
      <c r="AQ123" s="307">
        <v>31940</v>
      </c>
      <c r="AR123" s="307">
        <v>31910</v>
      </c>
      <c r="AS123" s="307">
        <v>31860</v>
      </c>
      <c r="AT123" s="307">
        <v>31800</v>
      </c>
      <c r="AU123" s="307">
        <v>31720</v>
      </c>
      <c r="AV123" s="307">
        <v>31640</v>
      </c>
      <c r="AW123" s="307">
        <v>31560</v>
      </c>
      <c r="AX123" s="307">
        <v>31500</v>
      </c>
      <c r="AY123" s="307">
        <v>31460</v>
      </c>
      <c r="AZ123" s="307">
        <v>31460</v>
      </c>
      <c r="BA123" s="307">
        <v>31490</v>
      </c>
      <c r="BB123" s="307">
        <v>31550</v>
      </c>
      <c r="BC123" s="307">
        <v>31630</v>
      </c>
      <c r="BD123" s="307">
        <v>31720</v>
      </c>
      <c r="BE123" s="307">
        <v>31820</v>
      </c>
      <c r="BF123" s="307">
        <v>31920</v>
      </c>
    </row>
    <row r="124" spans="1:58" x14ac:dyDescent="0.2">
      <c r="A124" s="308" t="s">
        <v>26</v>
      </c>
      <c r="B124" s="305"/>
      <c r="C124" s="307">
        <v>29650</v>
      </c>
      <c r="D124" s="307">
        <v>29650</v>
      </c>
      <c r="E124" s="307">
        <v>29160</v>
      </c>
      <c r="F124" s="307">
        <v>30580</v>
      </c>
      <c r="G124" s="307">
        <v>31580</v>
      </c>
      <c r="H124" s="307">
        <v>33040</v>
      </c>
      <c r="I124" s="307">
        <v>33180</v>
      </c>
      <c r="J124" s="307">
        <v>31950</v>
      </c>
      <c r="K124" s="307">
        <v>31810</v>
      </c>
      <c r="L124" s="307">
        <v>31290</v>
      </c>
      <c r="M124" s="307">
        <v>31370</v>
      </c>
      <c r="N124" s="307">
        <v>30770</v>
      </c>
      <c r="O124" s="307">
        <v>30280</v>
      </c>
      <c r="P124" s="307">
        <v>30080</v>
      </c>
      <c r="Q124" s="307">
        <v>29460</v>
      </c>
      <c r="R124" s="307">
        <v>30470</v>
      </c>
      <c r="S124" s="307">
        <v>29730</v>
      </c>
      <c r="T124" s="307">
        <v>28790</v>
      </c>
      <c r="U124" s="307">
        <v>28630</v>
      </c>
      <c r="V124" s="307">
        <v>29590</v>
      </c>
      <c r="W124" s="307">
        <v>29320</v>
      </c>
      <c r="X124" s="307">
        <v>30100</v>
      </c>
      <c r="Y124" s="307">
        <v>31240</v>
      </c>
      <c r="Z124" s="307">
        <v>32110</v>
      </c>
      <c r="AA124" s="307">
        <v>31350</v>
      </c>
      <c r="AB124" s="307">
        <v>32020</v>
      </c>
      <c r="AC124" s="307">
        <v>31300</v>
      </c>
      <c r="AD124" s="307">
        <v>30550</v>
      </c>
      <c r="AE124" s="307">
        <v>30570</v>
      </c>
      <c r="AF124" s="307">
        <v>30650</v>
      </c>
      <c r="AG124" s="307">
        <v>30780</v>
      </c>
      <c r="AH124" s="307">
        <v>30950</v>
      </c>
      <c r="AI124" s="307">
        <v>31140</v>
      </c>
      <c r="AJ124" s="307">
        <v>31320</v>
      </c>
      <c r="AK124" s="307">
        <v>31500</v>
      </c>
      <c r="AL124" s="307">
        <v>31670</v>
      </c>
      <c r="AM124" s="307">
        <v>31810</v>
      </c>
      <c r="AN124" s="307">
        <v>31920</v>
      </c>
      <c r="AO124" s="307">
        <v>32010</v>
      </c>
      <c r="AP124" s="307">
        <v>32060</v>
      </c>
      <c r="AQ124" s="307">
        <v>32090</v>
      </c>
      <c r="AR124" s="307">
        <v>32090</v>
      </c>
      <c r="AS124" s="307">
        <v>32060</v>
      </c>
      <c r="AT124" s="307">
        <v>32020</v>
      </c>
      <c r="AU124" s="307">
        <v>31950</v>
      </c>
      <c r="AV124" s="307">
        <v>31870</v>
      </c>
      <c r="AW124" s="307">
        <v>31790</v>
      </c>
      <c r="AX124" s="307">
        <v>31710</v>
      </c>
      <c r="AY124" s="307">
        <v>31650</v>
      </c>
      <c r="AZ124" s="307">
        <v>31610</v>
      </c>
      <c r="BA124" s="307">
        <v>31610</v>
      </c>
      <c r="BB124" s="307">
        <v>31640</v>
      </c>
      <c r="BC124" s="307">
        <v>31700</v>
      </c>
      <c r="BD124" s="307">
        <v>31780</v>
      </c>
      <c r="BE124" s="307">
        <v>31870</v>
      </c>
      <c r="BF124" s="307">
        <v>31970</v>
      </c>
    </row>
    <row r="125" spans="1:58" x14ac:dyDescent="0.2">
      <c r="A125" s="308" t="s">
        <v>27</v>
      </c>
      <c r="B125" s="305"/>
      <c r="C125" s="307">
        <v>29240</v>
      </c>
      <c r="D125" s="307">
        <v>29350</v>
      </c>
      <c r="E125" s="307">
        <v>29360</v>
      </c>
      <c r="F125" s="307">
        <v>29120</v>
      </c>
      <c r="G125" s="307">
        <v>30690</v>
      </c>
      <c r="H125" s="307">
        <v>31400</v>
      </c>
      <c r="I125" s="307">
        <v>32740</v>
      </c>
      <c r="J125" s="307">
        <v>32940</v>
      </c>
      <c r="K125" s="307">
        <v>31830</v>
      </c>
      <c r="L125" s="307">
        <v>31780</v>
      </c>
      <c r="M125" s="307">
        <v>31260</v>
      </c>
      <c r="N125" s="307">
        <v>31340</v>
      </c>
      <c r="O125" s="307">
        <v>30740</v>
      </c>
      <c r="P125" s="307">
        <v>30250</v>
      </c>
      <c r="Q125" s="307">
        <v>30060</v>
      </c>
      <c r="R125" s="307">
        <v>29430</v>
      </c>
      <c r="S125" s="307">
        <v>30440</v>
      </c>
      <c r="T125" s="307">
        <v>29700</v>
      </c>
      <c r="U125" s="307">
        <v>28760</v>
      </c>
      <c r="V125" s="307">
        <v>28610</v>
      </c>
      <c r="W125" s="307">
        <v>29560</v>
      </c>
      <c r="X125" s="307">
        <v>29300</v>
      </c>
      <c r="Y125" s="307">
        <v>30070</v>
      </c>
      <c r="Z125" s="307">
        <v>31220</v>
      </c>
      <c r="AA125" s="307">
        <v>32090</v>
      </c>
      <c r="AB125" s="307">
        <v>31320</v>
      </c>
      <c r="AC125" s="307">
        <v>31990</v>
      </c>
      <c r="AD125" s="307">
        <v>31270</v>
      </c>
      <c r="AE125" s="307">
        <v>30530</v>
      </c>
      <c r="AF125" s="307">
        <v>30540</v>
      </c>
      <c r="AG125" s="307">
        <v>30620</v>
      </c>
      <c r="AH125" s="307">
        <v>30760</v>
      </c>
      <c r="AI125" s="307">
        <v>30930</v>
      </c>
      <c r="AJ125" s="307">
        <v>31110</v>
      </c>
      <c r="AK125" s="307">
        <v>31300</v>
      </c>
      <c r="AL125" s="307">
        <v>31480</v>
      </c>
      <c r="AM125" s="307">
        <v>31650</v>
      </c>
      <c r="AN125" s="307">
        <v>31780</v>
      </c>
      <c r="AO125" s="307">
        <v>31900</v>
      </c>
      <c r="AP125" s="307">
        <v>31980</v>
      </c>
      <c r="AQ125" s="307">
        <v>32040</v>
      </c>
      <c r="AR125" s="307">
        <v>32060</v>
      </c>
      <c r="AS125" s="307">
        <v>32060</v>
      </c>
      <c r="AT125" s="307">
        <v>32040</v>
      </c>
      <c r="AU125" s="307">
        <v>31990</v>
      </c>
      <c r="AV125" s="307">
        <v>31920</v>
      </c>
      <c r="AW125" s="307">
        <v>31850</v>
      </c>
      <c r="AX125" s="307">
        <v>31760</v>
      </c>
      <c r="AY125" s="307">
        <v>31690</v>
      </c>
      <c r="AZ125" s="307">
        <v>31630</v>
      </c>
      <c r="BA125" s="307">
        <v>31590</v>
      </c>
      <c r="BB125" s="307">
        <v>31590</v>
      </c>
      <c r="BC125" s="307">
        <v>31620</v>
      </c>
      <c r="BD125" s="307">
        <v>31680</v>
      </c>
      <c r="BE125" s="307">
        <v>31760</v>
      </c>
      <c r="BF125" s="307">
        <v>31850</v>
      </c>
    </row>
    <row r="126" spans="1:58" x14ac:dyDescent="0.2">
      <c r="A126" s="308" t="s">
        <v>28</v>
      </c>
      <c r="B126" s="305"/>
      <c r="C126" s="307">
        <v>28880</v>
      </c>
      <c r="D126" s="307">
        <v>28950</v>
      </c>
      <c r="E126" s="307">
        <v>29100</v>
      </c>
      <c r="F126" s="307">
        <v>29270</v>
      </c>
      <c r="G126" s="307">
        <v>29230</v>
      </c>
      <c r="H126" s="307">
        <v>30540</v>
      </c>
      <c r="I126" s="307">
        <v>31150</v>
      </c>
      <c r="J126" s="307">
        <v>32540</v>
      </c>
      <c r="K126" s="307">
        <v>32890</v>
      </c>
      <c r="L126" s="307">
        <v>31880</v>
      </c>
      <c r="M126" s="307">
        <v>31830</v>
      </c>
      <c r="N126" s="307">
        <v>31310</v>
      </c>
      <c r="O126" s="307">
        <v>31400</v>
      </c>
      <c r="P126" s="307">
        <v>30800</v>
      </c>
      <c r="Q126" s="307">
        <v>30310</v>
      </c>
      <c r="R126" s="307">
        <v>30110</v>
      </c>
      <c r="S126" s="307">
        <v>29490</v>
      </c>
      <c r="T126" s="307">
        <v>30500</v>
      </c>
      <c r="U126" s="307">
        <v>29760</v>
      </c>
      <c r="V126" s="307">
        <v>28820</v>
      </c>
      <c r="W126" s="307">
        <v>28660</v>
      </c>
      <c r="X126" s="307">
        <v>29620</v>
      </c>
      <c r="Y126" s="307">
        <v>29350</v>
      </c>
      <c r="Z126" s="307">
        <v>30130</v>
      </c>
      <c r="AA126" s="307">
        <v>31270</v>
      </c>
      <c r="AB126" s="307">
        <v>32150</v>
      </c>
      <c r="AC126" s="307">
        <v>31380</v>
      </c>
      <c r="AD126" s="307">
        <v>32050</v>
      </c>
      <c r="AE126" s="307">
        <v>31330</v>
      </c>
      <c r="AF126" s="307">
        <v>30590</v>
      </c>
      <c r="AG126" s="307">
        <v>30600</v>
      </c>
      <c r="AH126" s="307">
        <v>30680</v>
      </c>
      <c r="AI126" s="307">
        <v>30810</v>
      </c>
      <c r="AJ126" s="307">
        <v>30990</v>
      </c>
      <c r="AK126" s="307">
        <v>31170</v>
      </c>
      <c r="AL126" s="307">
        <v>31360</v>
      </c>
      <c r="AM126" s="307">
        <v>31540</v>
      </c>
      <c r="AN126" s="307">
        <v>31700</v>
      </c>
      <c r="AO126" s="307">
        <v>31840</v>
      </c>
      <c r="AP126" s="307">
        <v>31960</v>
      </c>
      <c r="AQ126" s="307">
        <v>32040</v>
      </c>
      <c r="AR126" s="307">
        <v>32100</v>
      </c>
      <c r="AS126" s="307">
        <v>32120</v>
      </c>
      <c r="AT126" s="307">
        <v>32120</v>
      </c>
      <c r="AU126" s="307">
        <v>32100</v>
      </c>
      <c r="AV126" s="307">
        <v>32050</v>
      </c>
      <c r="AW126" s="307">
        <v>31980</v>
      </c>
      <c r="AX126" s="307">
        <v>31910</v>
      </c>
      <c r="AY126" s="307">
        <v>31820</v>
      </c>
      <c r="AZ126" s="307">
        <v>31750</v>
      </c>
      <c r="BA126" s="307">
        <v>31690</v>
      </c>
      <c r="BB126" s="307">
        <v>31650</v>
      </c>
      <c r="BC126" s="307">
        <v>31650</v>
      </c>
      <c r="BD126" s="307">
        <v>31680</v>
      </c>
      <c r="BE126" s="307">
        <v>31740</v>
      </c>
      <c r="BF126" s="307">
        <v>31820</v>
      </c>
    </row>
    <row r="127" spans="1:58" x14ac:dyDescent="0.2">
      <c r="A127" s="308" t="s">
        <v>29</v>
      </c>
      <c r="B127" s="305"/>
      <c r="C127" s="307">
        <v>27860</v>
      </c>
      <c r="D127" s="307">
        <v>28700</v>
      </c>
      <c r="E127" s="307">
        <v>28780</v>
      </c>
      <c r="F127" s="307">
        <v>29140</v>
      </c>
      <c r="G127" s="307">
        <v>29410</v>
      </c>
      <c r="H127" s="307">
        <v>29210</v>
      </c>
      <c r="I127" s="307">
        <v>30380</v>
      </c>
      <c r="J127" s="307">
        <v>31050</v>
      </c>
      <c r="K127" s="307">
        <v>32600</v>
      </c>
      <c r="L127" s="307">
        <v>33050</v>
      </c>
      <c r="M127" s="307">
        <v>32050</v>
      </c>
      <c r="N127" s="307">
        <v>32000</v>
      </c>
      <c r="O127" s="307">
        <v>31480</v>
      </c>
      <c r="P127" s="307">
        <v>31570</v>
      </c>
      <c r="Q127" s="307">
        <v>30970</v>
      </c>
      <c r="R127" s="307">
        <v>30480</v>
      </c>
      <c r="S127" s="307">
        <v>30280</v>
      </c>
      <c r="T127" s="307">
        <v>29660</v>
      </c>
      <c r="U127" s="307">
        <v>30670</v>
      </c>
      <c r="V127" s="307">
        <v>29930</v>
      </c>
      <c r="W127" s="307">
        <v>28990</v>
      </c>
      <c r="X127" s="307">
        <v>28830</v>
      </c>
      <c r="Y127" s="307">
        <v>29790</v>
      </c>
      <c r="Z127" s="307">
        <v>29520</v>
      </c>
      <c r="AA127" s="307">
        <v>30300</v>
      </c>
      <c r="AB127" s="307">
        <v>31440</v>
      </c>
      <c r="AC127" s="307">
        <v>32320</v>
      </c>
      <c r="AD127" s="307">
        <v>31550</v>
      </c>
      <c r="AE127" s="307">
        <v>32220</v>
      </c>
      <c r="AF127" s="307">
        <v>31500</v>
      </c>
      <c r="AG127" s="307">
        <v>30760</v>
      </c>
      <c r="AH127" s="307">
        <v>30770</v>
      </c>
      <c r="AI127" s="307">
        <v>30850</v>
      </c>
      <c r="AJ127" s="307">
        <v>30990</v>
      </c>
      <c r="AK127" s="307">
        <v>31160</v>
      </c>
      <c r="AL127" s="307">
        <v>31340</v>
      </c>
      <c r="AM127" s="307">
        <v>31530</v>
      </c>
      <c r="AN127" s="307">
        <v>31710</v>
      </c>
      <c r="AO127" s="307">
        <v>31880</v>
      </c>
      <c r="AP127" s="307">
        <v>32020</v>
      </c>
      <c r="AQ127" s="307">
        <v>32130</v>
      </c>
      <c r="AR127" s="307">
        <v>32220</v>
      </c>
      <c r="AS127" s="307">
        <v>32270</v>
      </c>
      <c r="AT127" s="307">
        <v>32300</v>
      </c>
      <c r="AU127" s="307">
        <v>32300</v>
      </c>
      <c r="AV127" s="307">
        <v>32270</v>
      </c>
      <c r="AW127" s="307">
        <v>32220</v>
      </c>
      <c r="AX127" s="307">
        <v>32160</v>
      </c>
      <c r="AY127" s="307">
        <v>32080</v>
      </c>
      <c r="AZ127" s="307">
        <v>32000</v>
      </c>
      <c r="BA127" s="307">
        <v>31920</v>
      </c>
      <c r="BB127" s="307">
        <v>31860</v>
      </c>
      <c r="BC127" s="307">
        <v>31830</v>
      </c>
      <c r="BD127" s="307">
        <v>31820</v>
      </c>
      <c r="BE127" s="307">
        <v>31850</v>
      </c>
      <c r="BF127" s="307">
        <v>31910</v>
      </c>
    </row>
    <row r="128" spans="1:58" x14ac:dyDescent="0.2">
      <c r="A128" s="308" t="s">
        <v>30</v>
      </c>
      <c r="B128" s="305"/>
      <c r="C128" s="307">
        <v>27140</v>
      </c>
      <c r="D128" s="307">
        <v>27880</v>
      </c>
      <c r="E128" s="307">
        <v>28620</v>
      </c>
      <c r="F128" s="307">
        <v>28960</v>
      </c>
      <c r="G128" s="307">
        <v>29380</v>
      </c>
      <c r="H128" s="307">
        <v>29530</v>
      </c>
      <c r="I128" s="307">
        <v>29250</v>
      </c>
      <c r="J128" s="307">
        <v>30490</v>
      </c>
      <c r="K128" s="307">
        <v>31310</v>
      </c>
      <c r="L128" s="307">
        <v>32960</v>
      </c>
      <c r="M128" s="307">
        <v>33410</v>
      </c>
      <c r="N128" s="307">
        <v>32410</v>
      </c>
      <c r="O128" s="307">
        <v>32360</v>
      </c>
      <c r="P128" s="307">
        <v>31840</v>
      </c>
      <c r="Q128" s="307">
        <v>31930</v>
      </c>
      <c r="R128" s="307">
        <v>31330</v>
      </c>
      <c r="S128" s="307">
        <v>30840</v>
      </c>
      <c r="T128" s="307">
        <v>30650</v>
      </c>
      <c r="U128" s="307">
        <v>30020</v>
      </c>
      <c r="V128" s="307">
        <v>31030</v>
      </c>
      <c r="W128" s="307">
        <v>30290</v>
      </c>
      <c r="X128" s="307">
        <v>29350</v>
      </c>
      <c r="Y128" s="307">
        <v>29200</v>
      </c>
      <c r="Z128" s="307">
        <v>30150</v>
      </c>
      <c r="AA128" s="307">
        <v>29890</v>
      </c>
      <c r="AB128" s="307">
        <v>30660</v>
      </c>
      <c r="AC128" s="307">
        <v>31810</v>
      </c>
      <c r="AD128" s="307">
        <v>32680</v>
      </c>
      <c r="AE128" s="307">
        <v>31920</v>
      </c>
      <c r="AF128" s="307">
        <v>32580</v>
      </c>
      <c r="AG128" s="307">
        <v>31870</v>
      </c>
      <c r="AH128" s="307">
        <v>31120</v>
      </c>
      <c r="AI128" s="307">
        <v>31140</v>
      </c>
      <c r="AJ128" s="307">
        <v>31220</v>
      </c>
      <c r="AK128" s="307">
        <v>31350</v>
      </c>
      <c r="AL128" s="307">
        <v>31520</v>
      </c>
      <c r="AM128" s="307">
        <v>31710</v>
      </c>
      <c r="AN128" s="307">
        <v>31900</v>
      </c>
      <c r="AO128" s="307">
        <v>32080</v>
      </c>
      <c r="AP128" s="307">
        <v>32240</v>
      </c>
      <c r="AQ128" s="307">
        <v>32380</v>
      </c>
      <c r="AR128" s="307">
        <v>32500</v>
      </c>
      <c r="AS128" s="307">
        <v>32580</v>
      </c>
      <c r="AT128" s="307">
        <v>32640</v>
      </c>
      <c r="AU128" s="307">
        <v>32660</v>
      </c>
      <c r="AV128" s="307">
        <v>32660</v>
      </c>
      <c r="AW128" s="307">
        <v>32640</v>
      </c>
      <c r="AX128" s="307">
        <v>32590</v>
      </c>
      <c r="AY128" s="307">
        <v>32520</v>
      </c>
      <c r="AZ128" s="307">
        <v>32450</v>
      </c>
      <c r="BA128" s="307">
        <v>32360</v>
      </c>
      <c r="BB128" s="307">
        <v>32290</v>
      </c>
      <c r="BC128" s="307">
        <v>32230</v>
      </c>
      <c r="BD128" s="307">
        <v>32190</v>
      </c>
      <c r="BE128" s="307">
        <v>32190</v>
      </c>
      <c r="BF128" s="307">
        <v>32220</v>
      </c>
    </row>
    <row r="129" spans="1:58" x14ac:dyDescent="0.2">
      <c r="A129" s="308" t="s">
        <v>31</v>
      </c>
      <c r="B129" s="305"/>
      <c r="C129" s="307">
        <v>26810</v>
      </c>
      <c r="D129" s="307">
        <v>27310</v>
      </c>
      <c r="E129" s="307">
        <v>27900</v>
      </c>
      <c r="F129" s="307">
        <v>28870</v>
      </c>
      <c r="G129" s="307">
        <v>29370</v>
      </c>
      <c r="H129" s="307">
        <v>29460</v>
      </c>
      <c r="I129" s="307">
        <v>29740</v>
      </c>
      <c r="J129" s="307">
        <v>29520</v>
      </c>
      <c r="K129" s="307">
        <v>30900</v>
      </c>
      <c r="L129" s="307">
        <v>31820</v>
      </c>
      <c r="M129" s="307">
        <v>33480</v>
      </c>
      <c r="N129" s="307">
        <v>33930</v>
      </c>
      <c r="O129" s="307">
        <v>32920</v>
      </c>
      <c r="P129" s="307">
        <v>32880</v>
      </c>
      <c r="Q129" s="307">
        <v>32360</v>
      </c>
      <c r="R129" s="307">
        <v>32440</v>
      </c>
      <c r="S129" s="307">
        <v>31850</v>
      </c>
      <c r="T129" s="307">
        <v>31350</v>
      </c>
      <c r="U129" s="307">
        <v>31160</v>
      </c>
      <c r="V129" s="307">
        <v>30540</v>
      </c>
      <c r="W129" s="307">
        <v>31550</v>
      </c>
      <c r="X129" s="307">
        <v>30810</v>
      </c>
      <c r="Y129" s="307">
        <v>29870</v>
      </c>
      <c r="Z129" s="307">
        <v>29720</v>
      </c>
      <c r="AA129" s="307">
        <v>30670</v>
      </c>
      <c r="AB129" s="307">
        <v>30410</v>
      </c>
      <c r="AC129" s="307">
        <v>31180</v>
      </c>
      <c r="AD129" s="307">
        <v>32330</v>
      </c>
      <c r="AE129" s="307">
        <v>33200</v>
      </c>
      <c r="AF129" s="307">
        <v>32430</v>
      </c>
      <c r="AG129" s="307">
        <v>33100</v>
      </c>
      <c r="AH129" s="307">
        <v>32390</v>
      </c>
      <c r="AI129" s="307">
        <v>31640</v>
      </c>
      <c r="AJ129" s="307">
        <v>31660</v>
      </c>
      <c r="AK129" s="307">
        <v>31740</v>
      </c>
      <c r="AL129" s="307">
        <v>31870</v>
      </c>
      <c r="AM129" s="307">
        <v>32040</v>
      </c>
      <c r="AN129" s="307">
        <v>32230</v>
      </c>
      <c r="AO129" s="307">
        <v>32410</v>
      </c>
      <c r="AP129" s="307">
        <v>32600</v>
      </c>
      <c r="AQ129" s="307">
        <v>32760</v>
      </c>
      <c r="AR129" s="307">
        <v>32900</v>
      </c>
      <c r="AS129" s="307">
        <v>33020</v>
      </c>
      <c r="AT129" s="307">
        <v>33100</v>
      </c>
      <c r="AU129" s="307">
        <v>33160</v>
      </c>
      <c r="AV129" s="307">
        <v>33180</v>
      </c>
      <c r="AW129" s="307">
        <v>33180</v>
      </c>
      <c r="AX129" s="307">
        <v>33160</v>
      </c>
      <c r="AY129" s="307">
        <v>33110</v>
      </c>
      <c r="AZ129" s="307">
        <v>33040</v>
      </c>
      <c r="BA129" s="307">
        <v>32970</v>
      </c>
      <c r="BB129" s="307">
        <v>32880</v>
      </c>
      <c r="BC129" s="307">
        <v>32810</v>
      </c>
      <c r="BD129" s="307">
        <v>32750</v>
      </c>
      <c r="BE129" s="307">
        <v>32710</v>
      </c>
      <c r="BF129" s="307">
        <v>32710</v>
      </c>
    </row>
    <row r="130" spans="1:58" x14ac:dyDescent="0.2">
      <c r="A130" s="308" t="s">
        <v>32</v>
      </c>
      <c r="B130" s="305"/>
      <c r="C130" s="307">
        <v>26790</v>
      </c>
      <c r="D130" s="307">
        <v>27070</v>
      </c>
      <c r="E130" s="307">
        <v>27530</v>
      </c>
      <c r="F130" s="307">
        <v>28320</v>
      </c>
      <c r="G130" s="307">
        <v>29290</v>
      </c>
      <c r="H130" s="307">
        <v>29500</v>
      </c>
      <c r="I130" s="307">
        <v>29710</v>
      </c>
      <c r="J130" s="307">
        <v>30050</v>
      </c>
      <c r="K130" s="307">
        <v>29960</v>
      </c>
      <c r="L130" s="307">
        <v>31440</v>
      </c>
      <c r="M130" s="307">
        <v>32360</v>
      </c>
      <c r="N130" s="307">
        <v>34020</v>
      </c>
      <c r="O130" s="307">
        <v>34470</v>
      </c>
      <c r="P130" s="307">
        <v>33460</v>
      </c>
      <c r="Q130" s="307">
        <v>33420</v>
      </c>
      <c r="R130" s="307">
        <v>32900</v>
      </c>
      <c r="S130" s="307">
        <v>32980</v>
      </c>
      <c r="T130" s="307">
        <v>32380</v>
      </c>
      <c r="U130" s="307">
        <v>31890</v>
      </c>
      <c r="V130" s="307">
        <v>31700</v>
      </c>
      <c r="W130" s="307">
        <v>31080</v>
      </c>
      <c r="X130" s="307">
        <v>32090</v>
      </c>
      <c r="Y130" s="307">
        <v>31350</v>
      </c>
      <c r="Z130" s="307">
        <v>30410</v>
      </c>
      <c r="AA130" s="307">
        <v>30260</v>
      </c>
      <c r="AB130" s="307">
        <v>31210</v>
      </c>
      <c r="AC130" s="307">
        <v>30950</v>
      </c>
      <c r="AD130" s="307">
        <v>31720</v>
      </c>
      <c r="AE130" s="307">
        <v>32870</v>
      </c>
      <c r="AF130" s="307">
        <v>33740</v>
      </c>
      <c r="AG130" s="307">
        <v>32980</v>
      </c>
      <c r="AH130" s="307">
        <v>33640</v>
      </c>
      <c r="AI130" s="307">
        <v>32930</v>
      </c>
      <c r="AJ130" s="307">
        <v>32180</v>
      </c>
      <c r="AK130" s="307">
        <v>32200</v>
      </c>
      <c r="AL130" s="307">
        <v>32280</v>
      </c>
      <c r="AM130" s="307">
        <v>32410</v>
      </c>
      <c r="AN130" s="307">
        <v>32580</v>
      </c>
      <c r="AO130" s="307">
        <v>32770</v>
      </c>
      <c r="AP130" s="307">
        <v>32960</v>
      </c>
      <c r="AQ130" s="307">
        <v>33140</v>
      </c>
      <c r="AR130" s="307">
        <v>33300</v>
      </c>
      <c r="AS130" s="307">
        <v>33440</v>
      </c>
      <c r="AT130" s="307">
        <v>33560</v>
      </c>
      <c r="AU130" s="307">
        <v>33640</v>
      </c>
      <c r="AV130" s="307">
        <v>33700</v>
      </c>
      <c r="AW130" s="307">
        <v>33730</v>
      </c>
      <c r="AX130" s="307">
        <v>33730</v>
      </c>
      <c r="AY130" s="307">
        <v>33700</v>
      </c>
      <c r="AZ130" s="307">
        <v>33650</v>
      </c>
      <c r="BA130" s="307">
        <v>33590</v>
      </c>
      <c r="BB130" s="307">
        <v>33510</v>
      </c>
      <c r="BC130" s="307">
        <v>33430</v>
      </c>
      <c r="BD130" s="307">
        <v>33350</v>
      </c>
      <c r="BE130" s="307">
        <v>33290</v>
      </c>
      <c r="BF130" s="307">
        <v>33260</v>
      </c>
    </row>
    <row r="131" spans="1:58" x14ac:dyDescent="0.2">
      <c r="A131" s="308" t="s">
        <v>33</v>
      </c>
      <c r="B131" s="305"/>
      <c r="C131" s="307">
        <v>26050</v>
      </c>
      <c r="D131" s="307">
        <v>27170</v>
      </c>
      <c r="E131" s="307">
        <v>27400</v>
      </c>
      <c r="F131" s="307">
        <v>27980</v>
      </c>
      <c r="G131" s="307">
        <v>28760</v>
      </c>
      <c r="H131" s="307">
        <v>29610</v>
      </c>
      <c r="I131" s="307">
        <v>29790</v>
      </c>
      <c r="J131" s="307">
        <v>30050</v>
      </c>
      <c r="K131" s="307">
        <v>30500</v>
      </c>
      <c r="L131" s="307">
        <v>30510</v>
      </c>
      <c r="M131" s="307">
        <v>31980</v>
      </c>
      <c r="N131" s="307">
        <v>32900</v>
      </c>
      <c r="O131" s="307">
        <v>34560</v>
      </c>
      <c r="P131" s="307">
        <v>35010</v>
      </c>
      <c r="Q131" s="307">
        <v>34000</v>
      </c>
      <c r="R131" s="307">
        <v>33960</v>
      </c>
      <c r="S131" s="307">
        <v>33440</v>
      </c>
      <c r="T131" s="307">
        <v>33530</v>
      </c>
      <c r="U131" s="307">
        <v>32930</v>
      </c>
      <c r="V131" s="307">
        <v>32440</v>
      </c>
      <c r="W131" s="307">
        <v>32250</v>
      </c>
      <c r="X131" s="307">
        <v>31620</v>
      </c>
      <c r="Y131" s="307">
        <v>32630</v>
      </c>
      <c r="Z131" s="307">
        <v>31890</v>
      </c>
      <c r="AA131" s="307">
        <v>30960</v>
      </c>
      <c r="AB131" s="307">
        <v>30800</v>
      </c>
      <c r="AC131" s="307">
        <v>31760</v>
      </c>
      <c r="AD131" s="307">
        <v>31490</v>
      </c>
      <c r="AE131" s="307">
        <v>32270</v>
      </c>
      <c r="AF131" s="307">
        <v>33410</v>
      </c>
      <c r="AG131" s="307">
        <v>34280</v>
      </c>
      <c r="AH131" s="307">
        <v>33520</v>
      </c>
      <c r="AI131" s="307">
        <v>34190</v>
      </c>
      <c r="AJ131" s="307">
        <v>33470</v>
      </c>
      <c r="AK131" s="307">
        <v>32730</v>
      </c>
      <c r="AL131" s="307">
        <v>32740</v>
      </c>
      <c r="AM131" s="307">
        <v>32820</v>
      </c>
      <c r="AN131" s="307">
        <v>32960</v>
      </c>
      <c r="AO131" s="307">
        <v>33130</v>
      </c>
      <c r="AP131" s="307">
        <v>33320</v>
      </c>
      <c r="AQ131" s="307">
        <v>33500</v>
      </c>
      <c r="AR131" s="307">
        <v>33690</v>
      </c>
      <c r="AS131" s="307">
        <v>33850</v>
      </c>
      <c r="AT131" s="307">
        <v>33990</v>
      </c>
      <c r="AU131" s="307">
        <v>34110</v>
      </c>
      <c r="AV131" s="307">
        <v>34190</v>
      </c>
      <c r="AW131" s="307">
        <v>34250</v>
      </c>
      <c r="AX131" s="307">
        <v>34270</v>
      </c>
      <c r="AY131" s="307">
        <v>34270</v>
      </c>
      <c r="AZ131" s="307">
        <v>34250</v>
      </c>
      <c r="BA131" s="307">
        <v>34200</v>
      </c>
      <c r="BB131" s="307">
        <v>34140</v>
      </c>
      <c r="BC131" s="307">
        <v>34060</v>
      </c>
      <c r="BD131" s="307">
        <v>33980</v>
      </c>
      <c r="BE131" s="307">
        <v>33900</v>
      </c>
      <c r="BF131" s="307">
        <v>33840</v>
      </c>
    </row>
    <row r="132" spans="1:58" x14ac:dyDescent="0.2">
      <c r="A132" s="308" t="s">
        <v>34</v>
      </c>
      <c r="B132" s="305"/>
      <c r="C132" s="307">
        <v>26810</v>
      </c>
      <c r="D132" s="307">
        <v>26500</v>
      </c>
      <c r="E132" s="307">
        <v>27540</v>
      </c>
      <c r="F132" s="307">
        <v>27880</v>
      </c>
      <c r="G132" s="307">
        <v>28440</v>
      </c>
      <c r="H132" s="307">
        <v>29140</v>
      </c>
      <c r="I132" s="307">
        <v>29920</v>
      </c>
      <c r="J132" s="307">
        <v>30140</v>
      </c>
      <c r="K132" s="307">
        <v>30510</v>
      </c>
      <c r="L132" s="307">
        <v>31040</v>
      </c>
      <c r="M132" s="307">
        <v>31050</v>
      </c>
      <c r="N132" s="307">
        <v>32520</v>
      </c>
      <c r="O132" s="307">
        <v>33440</v>
      </c>
      <c r="P132" s="307">
        <v>35100</v>
      </c>
      <c r="Q132" s="307">
        <v>35550</v>
      </c>
      <c r="R132" s="307">
        <v>34540</v>
      </c>
      <c r="S132" s="307">
        <v>34500</v>
      </c>
      <c r="T132" s="307">
        <v>33980</v>
      </c>
      <c r="U132" s="307">
        <v>34070</v>
      </c>
      <c r="V132" s="307">
        <v>33470</v>
      </c>
      <c r="W132" s="307">
        <v>32980</v>
      </c>
      <c r="X132" s="307">
        <v>32790</v>
      </c>
      <c r="Y132" s="307">
        <v>32170</v>
      </c>
      <c r="Z132" s="307">
        <v>33180</v>
      </c>
      <c r="AA132" s="307">
        <v>32440</v>
      </c>
      <c r="AB132" s="307">
        <v>31500</v>
      </c>
      <c r="AC132" s="307">
        <v>31350</v>
      </c>
      <c r="AD132" s="307">
        <v>32300</v>
      </c>
      <c r="AE132" s="307">
        <v>32040</v>
      </c>
      <c r="AF132" s="307">
        <v>32810</v>
      </c>
      <c r="AG132" s="307">
        <v>33960</v>
      </c>
      <c r="AH132" s="307">
        <v>34830</v>
      </c>
      <c r="AI132" s="307">
        <v>34070</v>
      </c>
      <c r="AJ132" s="307">
        <v>34730</v>
      </c>
      <c r="AK132" s="307">
        <v>34020</v>
      </c>
      <c r="AL132" s="307">
        <v>33270</v>
      </c>
      <c r="AM132" s="307">
        <v>33290</v>
      </c>
      <c r="AN132" s="307">
        <v>33370</v>
      </c>
      <c r="AO132" s="307">
        <v>33500</v>
      </c>
      <c r="AP132" s="307">
        <v>33680</v>
      </c>
      <c r="AQ132" s="307">
        <v>33860</v>
      </c>
      <c r="AR132" s="307">
        <v>34050</v>
      </c>
      <c r="AS132" s="307">
        <v>34230</v>
      </c>
      <c r="AT132" s="307">
        <v>34400</v>
      </c>
      <c r="AU132" s="307">
        <v>34540</v>
      </c>
      <c r="AV132" s="307">
        <v>34650</v>
      </c>
      <c r="AW132" s="307">
        <v>34740</v>
      </c>
      <c r="AX132" s="307">
        <v>34790</v>
      </c>
      <c r="AY132" s="307">
        <v>34820</v>
      </c>
      <c r="AZ132" s="307">
        <v>34820</v>
      </c>
      <c r="BA132" s="307">
        <v>34800</v>
      </c>
      <c r="BB132" s="307">
        <v>34750</v>
      </c>
      <c r="BC132" s="307">
        <v>34680</v>
      </c>
      <c r="BD132" s="307">
        <v>34600</v>
      </c>
      <c r="BE132" s="307">
        <v>34520</v>
      </c>
      <c r="BF132" s="307">
        <v>34450</v>
      </c>
    </row>
    <row r="133" spans="1:58" x14ac:dyDescent="0.2">
      <c r="A133" s="308" t="s">
        <v>35</v>
      </c>
      <c r="B133" s="305"/>
      <c r="C133" s="307">
        <v>27080</v>
      </c>
      <c r="D133" s="307">
        <v>27260</v>
      </c>
      <c r="E133" s="307">
        <v>26910</v>
      </c>
      <c r="F133" s="307">
        <v>28030</v>
      </c>
      <c r="G133" s="307">
        <v>28400</v>
      </c>
      <c r="H133" s="307">
        <v>28790</v>
      </c>
      <c r="I133" s="307">
        <v>29470</v>
      </c>
      <c r="J133" s="307">
        <v>30290</v>
      </c>
      <c r="K133" s="307">
        <v>30610</v>
      </c>
      <c r="L133" s="307">
        <v>31040</v>
      </c>
      <c r="M133" s="307">
        <v>31570</v>
      </c>
      <c r="N133" s="307">
        <v>31580</v>
      </c>
      <c r="O133" s="307">
        <v>33050</v>
      </c>
      <c r="P133" s="307">
        <v>33970</v>
      </c>
      <c r="Q133" s="307">
        <v>35630</v>
      </c>
      <c r="R133" s="307">
        <v>36080</v>
      </c>
      <c r="S133" s="307">
        <v>35070</v>
      </c>
      <c r="T133" s="307">
        <v>35030</v>
      </c>
      <c r="U133" s="307">
        <v>34510</v>
      </c>
      <c r="V133" s="307">
        <v>34600</v>
      </c>
      <c r="W133" s="307">
        <v>34000</v>
      </c>
      <c r="X133" s="307">
        <v>33510</v>
      </c>
      <c r="Y133" s="307">
        <v>33320</v>
      </c>
      <c r="Z133" s="307">
        <v>32700</v>
      </c>
      <c r="AA133" s="307">
        <v>33710</v>
      </c>
      <c r="AB133" s="307">
        <v>32970</v>
      </c>
      <c r="AC133" s="307">
        <v>32030</v>
      </c>
      <c r="AD133" s="307">
        <v>31880</v>
      </c>
      <c r="AE133" s="307">
        <v>32830</v>
      </c>
      <c r="AF133" s="307">
        <v>32570</v>
      </c>
      <c r="AG133" s="307">
        <v>33340</v>
      </c>
      <c r="AH133" s="307">
        <v>34490</v>
      </c>
      <c r="AI133" s="307">
        <v>35360</v>
      </c>
      <c r="AJ133" s="307">
        <v>34600</v>
      </c>
      <c r="AK133" s="307">
        <v>35260</v>
      </c>
      <c r="AL133" s="307">
        <v>34550</v>
      </c>
      <c r="AM133" s="307">
        <v>33810</v>
      </c>
      <c r="AN133" s="307">
        <v>33820</v>
      </c>
      <c r="AO133" s="307">
        <v>33900</v>
      </c>
      <c r="AP133" s="307">
        <v>34040</v>
      </c>
      <c r="AQ133" s="307">
        <v>34210</v>
      </c>
      <c r="AR133" s="307">
        <v>34400</v>
      </c>
      <c r="AS133" s="307">
        <v>34580</v>
      </c>
      <c r="AT133" s="307">
        <v>34770</v>
      </c>
      <c r="AU133" s="307">
        <v>34930</v>
      </c>
      <c r="AV133" s="307">
        <v>35070</v>
      </c>
      <c r="AW133" s="307">
        <v>35190</v>
      </c>
      <c r="AX133" s="307">
        <v>35270</v>
      </c>
      <c r="AY133" s="307">
        <v>35330</v>
      </c>
      <c r="AZ133" s="307">
        <v>35350</v>
      </c>
      <c r="BA133" s="307">
        <v>35360</v>
      </c>
      <c r="BB133" s="307">
        <v>35330</v>
      </c>
      <c r="BC133" s="307">
        <v>35280</v>
      </c>
      <c r="BD133" s="307">
        <v>35220</v>
      </c>
      <c r="BE133" s="307">
        <v>35140</v>
      </c>
      <c r="BF133" s="307">
        <v>35060</v>
      </c>
    </row>
    <row r="134" spans="1:58" x14ac:dyDescent="0.2">
      <c r="A134" s="308" t="s">
        <v>36</v>
      </c>
      <c r="B134" s="305"/>
      <c r="C134" s="307">
        <v>28670</v>
      </c>
      <c r="D134" s="307">
        <v>27490</v>
      </c>
      <c r="E134" s="307">
        <v>27530</v>
      </c>
      <c r="F134" s="307">
        <v>27310</v>
      </c>
      <c r="G134" s="307">
        <v>28380</v>
      </c>
      <c r="H134" s="307">
        <v>28640</v>
      </c>
      <c r="I134" s="307">
        <v>29030</v>
      </c>
      <c r="J134" s="307">
        <v>29750</v>
      </c>
      <c r="K134" s="307">
        <v>30650</v>
      </c>
      <c r="L134" s="307">
        <v>31030</v>
      </c>
      <c r="M134" s="307">
        <v>31460</v>
      </c>
      <c r="N134" s="307">
        <v>31990</v>
      </c>
      <c r="O134" s="307">
        <v>32000</v>
      </c>
      <c r="P134" s="307">
        <v>33470</v>
      </c>
      <c r="Q134" s="307">
        <v>34390</v>
      </c>
      <c r="R134" s="307">
        <v>36050</v>
      </c>
      <c r="S134" s="307">
        <v>36500</v>
      </c>
      <c r="T134" s="307">
        <v>35500</v>
      </c>
      <c r="U134" s="307">
        <v>35450</v>
      </c>
      <c r="V134" s="307">
        <v>34930</v>
      </c>
      <c r="W134" s="307">
        <v>35020</v>
      </c>
      <c r="X134" s="307">
        <v>34420</v>
      </c>
      <c r="Y134" s="307">
        <v>33930</v>
      </c>
      <c r="Z134" s="307">
        <v>33740</v>
      </c>
      <c r="AA134" s="307">
        <v>33120</v>
      </c>
      <c r="AB134" s="307">
        <v>34130</v>
      </c>
      <c r="AC134" s="307">
        <v>33390</v>
      </c>
      <c r="AD134" s="307">
        <v>32460</v>
      </c>
      <c r="AE134" s="307">
        <v>32300</v>
      </c>
      <c r="AF134" s="307">
        <v>33260</v>
      </c>
      <c r="AG134" s="307">
        <v>32990</v>
      </c>
      <c r="AH134" s="307">
        <v>33770</v>
      </c>
      <c r="AI134" s="307">
        <v>34910</v>
      </c>
      <c r="AJ134" s="307">
        <v>35780</v>
      </c>
      <c r="AK134" s="307">
        <v>35020</v>
      </c>
      <c r="AL134" s="307">
        <v>35690</v>
      </c>
      <c r="AM134" s="307">
        <v>34980</v>
      </c>
      <c r="AN134" s="307">
        <v>34230</v>
      </c>
      <c r="AO134" s="307">
        <v>34250</v>
      </c>
      <c r="AP134" s="307">
        <v>34330</v>
      </c>
      <c r="AQ134" s="307">
        <v>34460</v>
      </c>
      <c r="AR134" s="307">
        <v>34640</v>
      </c>
      <c r="AS134" s="307">
        <v>34820</v>
      </c>
      <c r="AT134" s="307">
        <v>35010</v>
      </c>
      <c r="AU134" s="307">
        <v>35190</v>
      </c>
      <c r="AV134" s="307">
        <v>35360</v>
      </c>
      <c r="AW134" s="307">
        <v>35500</v>
      </c>
      <c r="AX134" s="307">
        <v>35610</v>
      </c>
      <c r="AY134" s="307">
        <v>35700</v>
      </c>
      <c r="AZ134" s="307">
        <v>35750</v>
      </c>
      <c r="BA134" s="307">
        <v>35780</v>
      </c>
      <c r="BB134" s="307">
        <v>35780</v>
      </c>
      <c r="BC134" s="307">
        <v>35760</v>
      </c>
      <c r="BD134" s="307">
        <v>35710</v>
      </c>
      <c r="BE134" s="307">
        <v>35650</v>
      </c>
      <c r="BF134" s="307">
        <v>35570</v>
      </c>
    </row>
    <row r="135" spans="1:58" x14ac:dyDescent="0.2">
      <c r="A135" s="308" t="s">
        <v>37</v>
      </c>
      <c r="B135" s="305"/>
      <c r="C135" s="307">
        <v>29960</v>
      </c>
      <c r="D135" s="307">
        <v>28910</v>
      </c>
      <c r="E135" s="307">
        <v>27640</v>
      </c>
      <c r="F135" s="307">
        <v>27730</v>
      </c>
      <c r="G135" s="307">
        <v>27480</v>
      </c>
      <c r="H135" s="307">
        <v>28470</v>
      </c>
      <c r="I135" s="307">
        <v>28730</v>
      </c>
      <c r="J135" s="307">
        <v>29140</v>
      </c>
      <c r="K135" s="307">
        <v>29930</v>
      </c>
      <c r="L135" s="307">
        <v>30890</v>
      </c>
      <c r="M135" s="307">
        <v>31260</v>
      </c>
      <c r="N135" s="307">
        <v>31690</v>
      </c>
      <c r="O135" s="307">
        <v>32230</v>
      </c>
      <c r="P135" s="307">
        <v>32230</v>
      </c>
      <c r="Q135" s="307">
        <v>33710</v>
      </c>
      <c r="R135" s="307">
        <v>34630</v>
      </c>
      <c r="S135" s="307">
        <v>36280</v>
      </c>
      <c r="T135" s="307">
        <v>36730</v>
      </c>
      <c r="U135" s="307">
        <v>35730</v>
      </c>
      <c r="V135" s="307">
        <v>35680</v>
      </c>
      <c r="W135" s="307">
        <v>35170</v>
      </c>
      <c r="X135" s="307">
        <v>35250</v>
      </c>
      <c r="Y135" s="307">
        <v>34660</v>
      </c>
      <c r="Z135" s="307">
        <v>34170</v>
      </c>
      <c r="AA135" s="307">
        <v>33980</v>
      </c>
      <c r="AB135" s="307">
        <v>33360</v>
      </c>
      <c r="AC135" s="307">
        <v>34360</v>
      </c>
      <c r="AD135" s="307">
        <v>33630</v>
      </c>
      <c r="AE135" s="307">
        <v>32690</v>
      </c>
      <c r="AF135" s="307">
        <v>32540</v>
      </c>
      <c r="AG135" s="307">
        <v>33490</v>
      </c>
      <c r="AH135" s="307">
        <v>33230</v>
      </c>
      <c r="AI135" s="307">
        <v>34000</v>
      </c>
      <c r="AJ135" s="307">
        <v>35150</v>
      </c>
      <c r="AK135" s="307">
        <v>36020</v>
      </c>
      <c r="AL135" s="307">
        <v>35260</v>
      </c>
      <c r="AM135" s="307">
        <v>35920</v>
      </c>
      <c r="AN135" s="307">
        <v>35210</v>
      </c>
      <c r="AO135" s="307">
        <v>34470</v>
      </c>
      <c r="AP135" s="307">
        <v>34480</v>
      </c>
      <c r="AQ135" s="307">
        <v>34560</v>
      </c>
      <c r="AR135" s="307">
        <v>34700</v>
      </c>
      <c r="AS135" s="307">
        <v>34870</v>
      </c>
      <c r="AT135" s="307">
        <v>35060</v>
      </c>
      <c r="AU135" s="307">
        <v>35250</v>
      </c>
      <c r="AV135" s="307">
        <v>35430</v>
      </c>
      <c r="AW135" s="307">
        <v>35590</v>
      </c>
      <c r="AX135" s="307">
        <v>35730</v>
      </c>
      <c r="AY135" s="307">
        <v>35850</v>
      </c>
      <c r="AZ135" s="307">
        <v>35940</v>
      </c>
      <c r="BA135" s="307">
        <v>35990</v>
      </c>
      <c r="BB135" s="307">
        <v>36020</v>
      </c>
      <c r="BC135" s="307">
        <v>36020</v>
      </c>
      <c r="BD135" s="307">
        <v>36000</v>
      </c>
      <c r="BE135" s="307">
        <v>35950</v>
      </c>
      <c r="BF135" s="307">
        <v>35880</v>
      </c>
    </row>
    <row r="136" spans="1:58" x14ac:dyDescent="0.2">
      <c r="A136" s="308" t="s">
        <v>38</v>
      </c>
      <c r="B136" s="305"/>
      <c r="C136" s="307">
        <v>31240</v>
      </c>
      <c r="D136" s="307">
        <v>30190</v>
      </c>
      <c r="E136" s="307">
        <v>29020</v>
      </c>
      <c r="F136" s="307">
        <v>27740</v>
      </c>
      <c r="G136" s="307">
        <v>27850</v>
      </c>
      <c r="H136" s="307">
        <v>27540</v>
      </c>
      <c r="I136" s="307">
        <v>28460</v>
      </c>
      <c r="J136" s="307">
        <v>28750</v>
      </c>
      <c r="K136" s="307">
        <v>29220</v>
      </c>
      <c r="L136" s="307">
        <v>30060</v>
      </c>
      <c r="M136" s="307">
        <v>31010</v>
      </c>
      <c r="N136" s="307">
        <v>31380</v>
      </c>
      <c r="O136" s="307">
        <v>31820</v>
      </c>
      <c r="P136" s="307">
        <v>32350</v>
      </c>
      <c r="Q136" s="307">
        <v>32360</v>
      </c>
      <c r="R136" s="307">
        <v>33830</v>
      </c>
      <c r="S136" s="307">
        <v>34750</v>
      </c>
      <c r="T136" s="307">
        <v>36400</v>
      </c>
      <c r="U136" s="307">
        <v>36850</v>
      </c>
      <c r="V136" s="307">
        <v>35850</v>
      </c>
      <c r="W136" s="307">
        <v>35810</v>
      </c>
      <c r="X136" s="307">
        <v>35290</v>
      </c>
      <c r="Y136" s="307">
        <v>35380</v>
      </c>
      <c r="Z136" s="307">
        <v>34780</v>
      </c>
      <c r="AA136" s="307">
        <v>34290</v>
      </c>
      <c r="AB136" s="307">
        <v>34100</v>
      </c>
      <c r="AC136" s="307">
        <v>33480</v>
      </c>
      <c r="AD136" s="307">
        <v>34490</v>
      </c>
      <c r="AE136" s="307">
        <v>33750</v>
      </c>
      <c r="AF136" s="307">
        <v>32820</v>
      </c>
      <c r="AG136" s="307">
        <v>32670</v>
      </c>
      <c r="AH136" s="307">
        <v>33620</v>
      </c>
      <c r="AI136" s="307">
        <v>33360</v>
      </c>
      <c r="AJ136" s="307">
        <v>34130</v>
      </c>
      <c r="AK136" s="307">
        <v>35270</v>
      </c>
      <c r="AL136" s="307">
        <v>36140</v>
      </c>
      <c r="AM136" s="307">
        <v>35380</v>
      </c>
      <c r="AN136" s="307">
        <v>36050</v>
      </c>
      <c r="AO136" s="307">
        <v>35340</v>
      </c>
      <c r="AP136" s="307">
        <v>34600</v>
      </c>
      <c r="AQ136" s="307">
        <v>34610</v>
      </c>
      <c r="AR136" s="307">
        <v>34690</v>
      </c>
      <c r="AS136" s="307">
        <v>34830</v>
      </c>
      <c r="AT136" s="307">
        <v>35000</v>
      </c>
      <c r="AU136" s="307">
        <v>35190</v>
      </c>
      <c r="AV136" s="307">
        <v>35370</v>
      </c>
      <c r="AW136" s="307">
        <v>35560</v>
      </c>
      <c r="AX136" s="307">
        <v>35720</v>
      </c>
      <c r="AY136" s="307">
        <v>35860</v>
      </c>
      <c r="AZ136" s="307">
        <v>35980</v>
      </c>
      <c r="BA136" s="307">
        <v>36060</v>
      </c>
      <c r="BB136" s="307">
        <v>36120</v>
      </c>
      <c r="BC136" s="307">
        <v>36150</v>
      </c>
      <c r="BD136" s="307">
        <v>36150</v>
      </c>
      <c r="BE136" s="307">
        <v>36130</v>
      </c>
      <c r="BF136" s="307">
        <v>36080</v>
      </c>
    </row>
    <row r="137" spans="1:58" x14ac:dyDescent="0.2">
      <c r="A137" s="308" t="s">
        <v>39</v>
      </c>
      <c r="B137" s="305"/>
      <c r="C137" s="307">
        <v>32740</v>
      </c>
      <c r="D137" s="307">
        <v>31420</v>
      </c>
      <c r="E137" s="307">
        <v>30320</v>
      </c>
      <c r="F137" s="307">
        <v>29120</v>
      </c>
      <c r="G137" s="307">
        <v>27890</v>
      </c>
      <c r="H137" s="307">
        <v>27860</v>
      </c>
      <c r="I137" s="307">
        <v>27510</v>
      </c>
      <c r="J137" s="307">
        <v>28450</v>
      </c>
      <c r="K137" s="307">
        <v>28790</v>
      </c>
      <c r="L137" s="307">
        <v>29310</v>
      </c>
      <c r="M137" s="307">
        <v>30140</v>
      </c>
      <c r="N137" s="307">
        <v>31100</v>
      </c>
      <c r="O137" s="307">
        <v>31470</v>
      </c>
      <c r="P137" s="307">
        <v>31900</v>
      </c>
      <c r="Q137" s="307">
        <v>32440</v>
      </c>
      <c r="R137" s="307">
        <v>32440</v>
      </c>
      <c r="S137" s="307">
        <v>33920</v>
      </c>
      <c r="T137" s="307">
        <v>34840</v>
      </c>
      <c r="U137" s="307">
        <v>36490</v>
      </c>
      <c r="V137" s="307">
        <v>36940</v>
      </c>
      <c r="W137" s="307">
        <v>35940</v>
      </c>
      <c r="X137" s="307">
        <v>35890</v>
      </c>
      <c r="Y137" s="307">
        <v>35380</v>
      </c>
      <c r="Z137" s="307">
        <v>35460</v>
      </c>
      <c r="AA137" s="307">
        <v>34870</v>
      </c>
      <c r="AB137" s="307">
        <v>34380</v>
      </c>
      <c r="AC137" s="307">
        <v>34190</v>
      </c>
      <c r="AD137" s="307">
        <v>33570</v>
      </c>
      <c r="AE137" s="307">
        <v>34580</v>
      </c>
      <c r="AF137" s="307">
        <v>33840</v>
      </c>
      <c r="AG137" s="307">
        <v>32910</v>
      </c>
      <c r="AH137" s="307">
        <v>32760</v>
      </c>
      <c r="AI137" s="307">
        <v>33710</v>
      </c>
      <c r="AJ137" s="307">
        <v>33450</v>
      </c>
      <c r="AK137" s="307">
        <v>34220</v>
      </c>
      <c r="AL137" s="307">
        <v>35360</v>
      </c>
      <c r="AM137" s="307">
        <v>36230</v>
      </c>
      <c r="AN137" s="307">
        <v>35480</v>
      </c>
      <c r="AO137" s="307">
        <v>36140</v>
      </c>
      <c r="AP137" s="307">
        <v>35430</v>
      </c>
      <c r="AQ137" s="307">
        <v>34690</v>
      </c>
      <c r="AR137" s="307">
        <v>34700</v>
      </c>
      <c r="AS137" s="307">
        <v>34780</v>
      </c>
      <c r="AT137" s="307">
        <v>34920</v>
      </c>
      <c r="AU137" s="307">
        <v>35090</v>
      </c>
      <c r="AV137" s="307">
        <v>35280</v>
      </c>
      <c r="AW137" s="307">
        <v>35470</v>
      </c>
      <c r="AX137" s="307">
        <v>35650</v>
      </c>
      <c r="AY137" s="307">
        <v>35810</v>
      </c>
      <c r="AZ137" s="307">
        <v>35960</v>
      </c>
      <c r="BA137" s="307">
        <v>36070</v>
      </c>
      <c r="BB137" s="307">
        <v>36160</v>
      </c>
      <c r="BC137" s="307">
        <v>36210</v>
      </c>
      <c r="BD137" s="307">
        <v>36240</v>
      </c>
      <c r="BE137" s="307">
        <v>36240</v>
      </c>
      <c r="BF137" s="307">
        <v>36220</v>
      </c>
    </row>
    <row r="138" spans="1:58" x14ac:dyDescent="0.2">
      <c r="A138" s="308" t="s">
        <v>40</v>
      </c>
      <c r="B138" s="305"/>
      <c r="C138" s="307">
        <v>33360</v>
      </c>
      <c r="D138" s="307">
        <v>32920</v>
      </c>
      <c r="E138" s="307">
        <v>31490</v>
      </c>
      <c r="F138" s="307">
        <v>30470</v>
      </c>
      <c r="G138" s="307">
        <v>29250</v>
      </c>
      <c r="H138" s="307">
        <v>27910</v>
      </c>
      <c r="I138" s="307">
        <v>27810</v>
      </c>
      <c r="J138" s="307">
        <v>27480</v>
      </c>
      <c r="K138" s="307">
        <v>28480</v>
      </c>
      <c r="L138" s="307">
        <v>28860</v>
      </c>
      <c r="M138" s="307">
        <v>29380</v>
      </c>
      <c r="N138" s="307">
        <v>30210</v>
      </c>
      <c r="O138" s="307">
        <v>31160</v>
      </c>
      <c r="P138" s="307">
        <v>31530</v>
      </c>
      <c r="Q138" s="307">
        <v>31970</v>
      </c>
      <c r="R138" s="307">
        <v>32500</v>
      </c>
      <c r="S138" s="307">
        <v>32510</v>
      </c>
      <c r="T138" s="307">
        <v>33980</v>
      </c>
      <c r="U138" s="307">
        <v>34900</v>
      </c>
      <c r="V138" s="307">
        <v>36550</v>
      </c>
      <c r="W138" s="307">
        <v>37000</v>
      </c>
      <c r="X138" s="307">
        <v>36000</v>
      </c>
      <c r="Y138" s="307">
        <v>35960</v>
      </c>
      <c r="Z138" s="307">
        <v>35440</v>
      </c>
      <c r="AA138" s="307">
        <v>35530</v>
      </c>
      <c r="AB138" s="307">
        <v>34930</v>
      </c>
      <c r="AC138" s="307">
        <v>34450</v>
      </c>
      <c r="AD138" s="307">
        <v>34250</v>
      </c>
      <c r="AE138" s="307">
        <v>33640</v>
      </c>
      <c r="AF138" s="307">
        <v>34640</v>
      </c>
      <c r="AG138" s="307">
        <v>33910</v>
      </c>
      <c r="AH138" s="307">
        <v>32970</v>
      </c>
      <c r="AI138" s="307">
        <v>32820</v>
      </c>
      <c r="AJ138" s="307">
        <v>33780</v>
      </c>
      <c r="AK138" s="307">
        <v>33510</v>
      </c>
      <c r="AL138" s="307">
        <v>34280</v>
      </c>
      <c r="AM138" s="307">
        <v>35430</v>
      </c>
      <c r="AN138" s="307">
        <v>36300</v>
      </c>
      <c r="AO138" s="307">
        <v>35540</v>
      </c>
      <c r="AP138" s="307">
        <v>36210</v>
      </c>
      <c r="AQ138" s="307">
        <v>35500</v>
      </c>
      <c r="AR138" s="307">
        <v>34760</v>
      </c>
      <c r="AS138" s="307">
        <v>34770</v>
      </c>
      <c r="AT138" s="307">
        <v>34850</v>
      </c>
      <c r="AU138" s="307">
        <v>34990</v>
      </c>
      <c r="AV138" s="307">
        <v>35160</v>
      </c>
      <c r="AW138" s="307">
        <v>35350</v>
      </c>
      <c r="AX138" s="307">
        <v>35530</v>
      </c>
      <c r="AY138" s="307">
        <v>35720</v>
      </c>
      <c r="AZ138" s="307">
        <v>35880</v>
      </c>
      <c r="BA138" s="307">
        <v>36020</v>
      </c>
      <c r="BB138" s="307">
        <v>36140</v>
      </c>
      <c r="BC138" s="307">
        <v>36230</v>
      </c>
      <c r="BD138" s="307">
        <v>36280</v>
      </c>
      <c r="BE138" s="307">
        <v>36310</v>
      </c>
      <c r="BF138" s="307">
        <v>36310</v>
      </c>
    </row>
    <row r="139" spans="1:58" x14ac:dyDescent="0.2">
      <c r="A139" s="308" t="s">
        <v>41</v>
      </c>
      <c r="B139" s="305"/>
      <c r="C139" s="307">
        <v>32520</v>
      </c>
      <c r="D139" s="307">
        <v>33540</v>
      </c>
      <c r="E139" s="307">
        <v>33010</v>
      </c>
      <c r="F139" s="307">
        <v>31640</v>
      </c>
      <c r="G139" s="307">
        <v>30540</v>
      </c>
      <c r="H139" s="307">
        <v>29230</v>
      </c>
      <c r="I139" s="307">
        <v>27850</v>
      </c>
      <c r="J139" s="307">
        <v>27770</v>
      </c>
      <c r="K139" s="307">
        <v>27490</v>
      </c>
      <c r="L139" s="307">
        <v>28520</v>
      </c>
      <c r="M139" s="307">
        <v>28900</v>
      </c>
      <c r="N139" s="307">
        <v>29420</v>
      </c>
      <c r="O139" s="307">
        <v>30250</v>
      </c>
      <c r="P139" s="307">
        <v>31200</v>
      </c>
      <c r="Q139" s="307">
        <v>31580</v>
      </c>
      <c r="R139" s="307">
        <v>32010</v>
      </c>
      <c r="S139" s="307">
        <v>32540</v>
      </c>
      <c r="T139" s="307">
        <v>32550</v>
      </c>
      <c r="U139" s="307">
        <v>34020</v>
      </c>
      <c r="V139" s="307">
        <v>34940</v>
      </c>
      <c r="W139" s="307">
        <v>36590</v>
      </c>
      <c r="X139" s="307">
        <v>37040</v>
      </c>
      <c r="Y139" s="307">
        <v>36040</v>
      </c>
      <c r="Z139" s="307">
        <v>36000</v>
      </c>
      <c r="AA139" s="307">
        <v>35490</v>
      </c>
      <c r="AB139" s="307">
        <v>35570</v>
      </c>
      <c r="AC139" s="307">
        <v>34980</v>
      </c>
      <c r="AD139" s="307">
        <v>34490</v>
      </c>
      <c r="AE139" s="307">
        <v>34300</v>
      </c>
      <c r="AF139" s="307">
        <v>33680</v>
      </c>
      <c r="AG139" s="307">
        <v>34690</v>
      </c>
      <c r="AH139" s="307">
        <v>33950</v>
      </c>
      <c r="AI139" s="307">
        <v>33020</v>
      </c>
      <c r="AJ139" s="307">
        <v>32870</v>
      </c>
      <c r="AK139" s="307">
        <v>33820</v>
      </c>
      <c r="AL139" s="307">
        <v>33560</v>
      </c>
      <c r="AM139" s="307">
        <v>34330</v>
      </c>
      <c r="AN139" s="307">
        <v>35480</v>
      </c>
      <c r="AO139" s="307">
        <v>36350</v>
      </c>
      <c r="AP139" s="307">
        <v>35590</v>
      </c>
      <c r="AQ139" s="307">
        <v>36250</v>
      </c>
      <c r="AR139" s="307">
        <v>35540</v>
      </c>
      <c r="AS139" s="307">
        <v>34800</v>
      </c>
      <c r="AT139" s="307">
        <v>34820</v>
      </c>
      <c r="AU139" s="307">
        <v>34900</v>
      </c>
      <c r="AV139" s="307">
        <v>35040</v>
      </c>
      <c r="AW139" s="307">
        <v>35210</v>
      </c>
      <c r="AX139" s="307">
        <v>35400</v>
      </c>
      <c r="AY139" s="307">
        <v>35580</v>
      </c>
      <c r="AZ139" s="307">
        <v>35770</v>
      </c>
      <c r="BA139" s="307">
        <v>35930</v>
      </c>
      <c r="BB139" s="307">
        <v>36070</v>
      </c>
      <c r="BC139" s="307">
        <v>36190</v>
      </c>
      <c r="BD139" s="307">
        <v>36280</v>
      </c>
      <c r="BE139" s="307">
        <v>36330</v>
      </c>
      <c r="BF139" s="307">
        <v>36360</v>
      </c>
    </row>
    <row r="140" spans="1:58" x14ac:dyDescent="0.2">
      <c r="A140" s="308" t="s">
        <v>42</v>
      </c>
      <c r="B140" s="305"/>
      <c r="C140" s="307">
        <v>32870</v>
      </c>
      <c r="D140" s="307">
        <v>32650</v>
      </c>
      <c r="E140" s="307">
        <v>33590</v>
      </c>
      <c r="F140" s="307">
        <v>33070</v>
      </c>
      <c r="G140" s="307">
        <v>31700</v>
      </c>
      <c r="H140" s="307">
        <v>30450</v>
      </c>
      <c r="I140" s="307">
        <v>29150</v>
      </c>
      <c r="J140" s="307">
        <v>27790</v>
      </c>
      <c r="K140" s="307">
        <v>27770</v>
      </c>
      <c r="L140" s="307">
        <v>27520</v>
      </c>
      <c r="M140" s="307">
        <v>28550</v>
      </c>
      <c r="N140" s="307">
        <v>28930</v>
      </c>
      <c r="O140" s="307">
        <v>29450</v>
      </c>
      <c r="P140" s="307">
        <v>30280</v>
      </c>
      <c r="Q140" s="307">
        <v>31230</v>
      </c>
      <c r="R140" s="307">
        <v>31600</v>
      </c>
      <c r="S140" s="307">
        <v>32040</v>
      </c>
      <c r="T140" s="307">
        <v>32570</v>
      </c>
      <c r="U140" s="307">
        <v>32580</v>
      </c>
      <c r="V140" s="307">
        <v>34050</v>
      </c>
      <c r="W140" s="307">
        <v>34970</v>
      </c>
      <c r="X140" s="307">
        <v>36620</v>
      </c>
      <c r="Y140" s="307">
        <v>37070</v>
      </c>
      <c r="Z140" s="307">
        <v>36070</v>
      </c>
      <c r="AA140" s="307">
        <v>36030</v>
      </c>
      <c r="AB140" s="307">
        <v>35510</v>
      </c>
      <c r="AC140" s="307">
        <v>35600</v>
      </c>
      <c r="AD140" s="307">
        <v>35010</v>
      </c>
      <c r="AE140" s="307">
        <v>34520</v>
      </c>
      <c r="AF140" s="307">
        <v>34330</v>
      </c>
      <c r="AG140" s="307">
        <v>33710</v>
      </c>
      <c r="AH140" s="307">
        <v>34720</v>
      </c>
      <c r="AI140" s="307">
        <v>33990</v>
      </c>
      <c r="AJ140" s="307">
        <v>33050</v>
      </c>
      <c r="AK140" s="307">
        <v>32900</v>
      </c>
      <c r="AL140" s="307">
        <v>33850</v>
      </c>
      <c r="AM140" s="307">
        <v>33590</v>
      </c>
      <c r="AN140" s="307">
        <v>34360</v>
      </c>
      <c r="AO140" s="307">
        <v>35510</v>
      </c>
      <c r="AP140" s="307">
        <v>36380</v>
      </c>
      <c r="AQ140" s="307">
        <v>35620</v>
      </c>
      <c r="AR140" s="307">
        <v>36290</v>
      </c>
      <c r="AS140" s="307">
        <v>35580</v>
      </c>
      <c r="AT140" s="307">
        <v>34840</v>
      </c>
      <c r="AU140" s="307">
        <v>34850</v>
      </c>
      <c r="AV140" s="307">
        <v>34930</v>
      </c>
      <c r="AW140" s="307">
        <v>35070</v>
      </c>
      <c r="AX140" s="307">
        <v>35240</v>
      </c>
      <c r="AY140" s="307">
        <v>35430</v>
      </c>
      <c r="AZ140" s="307">
        <v>35620</v>
      </c>
      <c r="BA140" s="307">
        <v>35800</v>
      </c>
      <c r="BB140" s="307">
        <v>35970</v>
      </c>
      <c r="BC140" s="307">
        <v>36110</v>
      </c>
      <c r="BD140" s="307">
        <v>36220</v>
      </c>
      <c r="BE140" s="307">
        <v>36310</v>
      </c>
      <c r="BF140" s="307">
        <v>36370</v>
      </c>
    </row>
    <row r="141" spans="1:58" x14ac:dyDescent="0.2">
      <c r="A141" s="308" t="s">
        <v>43</v>
      </c>
      <c r="B141" s="305"/>
      <c r="C141" s="307">
        <v>32450</v>
      </c>
      <c r="D141" s="307">
        <v>32970</v>
      </c>
      <c r="E141" s="307">
        <v>32650</v>
      </c>
      <c r="F141" s="307">
        <v>33650</v>
      </c>
      <c r="G141" s="307">
        <v>33110</v>
      </c>
      <c r="H141" s="307">
        <v>31640</v>
      </c>
      <c r="I141" s="307">
        <v>30350</v>
      </c>
      <c r="J141" s="307">
        <v>29080</v>
      </c>
      <c r="K141" s="307">
        <v>27770</v>
      </c>
      <c r="L141" s="307">
        <v>27780</v>
      </c>
      <c r="M141" s="307">
        <v>27530</v>
      </c>
      <c r="N141" s="307">
        <v>28560</v>
      </c>
      <c r="O141" s="307">
        <v>28940</v>
      </c>
      <c r="P141" s="307">
        <v>29460</v>
      </c>
      <c r="Q141" s="307">
        <v>30290</v>
      </c>
      <c r="R141" s="307">
        <v>31240</v>
      </c>
      <c r="S141" s="307">
        <v>31620</v>
      </c>
      <c r="T141" s="307">
        <v>32050</v>
      </c>
      <c r="U141" s="307">
        <v>32580</v>
      </c>
      <c r="V141" s="307">
        <v>32590</v>
      </c>
      <c r="W141" s="307">
        <v>34060</v>
      </c>
      <c r="X141" s="307">
        <v>34980</v>
      </c>
      <c r="Y141" s="307">
        <v>36630</v>
      </c>
      <c r="Z141" s="307">
        <v>37080</v>
      </c>
      <c r="AA141" s="307">
        <v>36080</v>
      </c>
      <c r="AB141" s="307">
        <v>36040</v>
      </c>
      <c r="AC141" s="307">
        <v>35530</v>
      </c>
      <c r="AD141" s="307">
        <v>35610</v>
      </c>
      <c r="AE141" s="307">
        <v>35020</v>
      </c>
      <c r="AF141" s="307">
        <v>34530</v>
      </c>
      <c r="AG141" s="307">
        <v>34340</v>
      </c>
      <c r="AH141" s="307">
        <v>33730</v>
      </c>
      <c r="AI141" s="307">
        <v>34730</v>
      </c>
      <c r="AJ141" s="307">
        <v>34000</v>
      </c>
      <c r="AK141" s="307">
        <v>33070</v>
      </c>
      <c r="AL141" s="307">
        <v>32920</v>
      </c>
      <c r="AM141" s="307">
        <v>33870</v>
      </c>
      <c r="AN141" s="307">
        <v>33610</v>
      </c>
      <c r="AO141" s="307">
        <v>34380</v>
      </c>
      <c r="AP141" s="307">
        <v>35520</v>
      </c>
      <c r="AQ141" s="307">
        <v>36390</v>
      </c>
      <c r="AR141" s="307">
        <v>35640</v>
      </c>
      <c r="AS141" s="307">
        <v>36300</v>
      </c>
      <c r="AT141" s="307">
        <v>35590</v>
      </c>
      <c r="AU141" s="307">
        <v>34850</v>
      </c>
      <c r="AV141" s="307">
        <v>34870</v>
      </c>
      <c r="AW141" s="307">
        <v>34950</v>
      </c>
      <c r="AX141" s="307">
        <v>35090</v>
      </c>
      <c r="AY141" s="307">
        <v>35260</v>
      </c>
      <c r="AZ141" s="307">
        <v>35450</v>
      </c>
      <c r="BA141" s="307">
        <v>35640</v>
      </c>
      <c r="BB141" s="307">
        <v>35820</v>
      </c>
      <c r="BC141" s="307">
        <v>35980</v>
      </c>
      <c r="BD141" s="307">
        <v>36130</v>
      </c>
      <c r="BE141" s="307">
        <v>36240</v>
      </c>
      <c r="BF141" s="307">
        <v>36330</v>
      </c>
    </row>
    <row r="142" spans="1:58" x14ac:dyDescent="0.2">
      <c r="A142" s="308" t="s">
        <v>44</v>
      </c>
      <c r="B142" s="305"/>
      <c r="C142" s="307">
        <v>32220</v>
      </c>
      <c r="D142" s="307">
        <v>32520</v>
      </c>
      <c r="E142" s="307">
        <v>32980</v>
      </c>
      <c r="F142" s="307">
        <v>32680</v>
      </c>
      <c r="G142" s="307">
        <v>33700</v>
      </c>
      <c r="H142" s="307">
        <v>33050</v>
      </c>
      <c r="I142" s="307">
        <v>31530</v>
      </c>
      <c r="J142" s="307">
        <v>30270</v>
      </c>
      <c r="K142" s="307">
        <v>29040</v>
      </c>
      <c r="L142" s="307">
        <v>27770</v>
      </c>
      <c r="M142" s="307">
        <v>27770</v>
      </c>
      <c r="N142" s="307">
        <v>27530</v>
      </c>
      <c r="O142" s="307">
        <v>28560</v>
      </c>
      <c r="P142" s="307">
        <v>28940</v>
      </c>
      <c r="Q142" s="307">
        <v>29460</v>
      </c>
      <c r="R142" s="307">
        <v>30290</v>
      </c>
      <c r="S142" s="307">
        <v>31240</v>
      </c>
      <c r="T142" s="307">
        <v>31610</v>
      </c>
      <c r="U142" s="307">
        <v>32050</v>
      </c>
      <c r="V142" s="307">
        <v>32580</v>
      </c>
      <c r="W142" s="307">
        <v>32590</v>
      </c>
      <c r="X142" s="307">
        <v>34060</v>
      </c>
      <c r="Y142" s="307">
        <v>34980</v>
      </c>
      <c r="Z142" s="307">
        <v>36620</v>
      </c>
      <c r="AA142" s="307">
        <v>37070</v>
      </c>
      <c r="AB142" s="307">
        <v>36080</v>
      </c>
      <c r="AC142" s="307">
        <v>36040</v>
      </c>
      <c r="AD142" s="307">
        <v>35520</v>
      </c>
      <c r="AE142" s="307">
        <v>35610</v>
      </c>
      <c r="AF142" s="307">
        <v>35020</v>
      </c>
      <c r="AG142" s="307">
        <v>34530</v>
      </c>
      <c r="AH142" s="307">
        <v>34340</v>
      </c>
      <c r="AI142" s="307">
        <v>33730</v>
      </c>
      <c r="AJ142" s="307">
        <v>34730</v>
      </c>
      <c r="AK142" s="307">
        <v>34000</v>
      </c>
      <c r="AL142" s="307">
        <v>33070</v>
      </c>
      <c r="AM142" s="307">
        <v>32920</v>
      </c>
      <c r="AN142" s="307">
        <v>33870</v>
      </c>
      <c r="AO142" s="307">
        <v>33610</v>
      </c>
      <c r="AP142" s="307">
        <v>34380</v>
      </c>
      <c r="AQ142" s="307">
        <v>35530</v>
      </c>
      <c r="AR142" s="307">
        <v>36400</v>
      </c>
      <c r="AS142" s="307">
        <v>35640</v>
      </c>
      <c r="AT142" s="307">
        <v>36300</v>
      </c>
      <c r="AU142" s="307">
        <v>35600</v>
      </c>
      <c r="AV142" s="307">
        <v>34860</v>
      </c>
      <c r="AW142" s="307">
        <v>34870</v>
      </c>
      <c r="AX142" s="307">
        <v>34950</v>
      </c>
      <c r="AY142" s="307">
        <v>35090</v>
      </c>
      <c r="AZ142" s="307">
        <v>35260</v>
      </c>
      <c r="BA142" s="307">
        <v>35450</v>
      </c>
      <c r="BB142" s="307">
        <v>35640</v>
      </c>
      <c r="BC142" s="307">
        <v>35820</v>
      </c>
      <c r="BD142" s="307">
        <v>35990</v>
      </c>
      <c r="BE142" s="307">
        <v>36130</v>
      </c>
      <c r="BF142" s="307">
        <v>36250</v>
      </c>
    </row>
    <row r="143" spans="1:58" x14ac:dyDescent="0.2">
      <c r="A143" s="308" t="s">
        <v>45</v>
      </c>
      <c r="B143" s="305"/>
      <c r="C143" s="307">
        <v>32020</v>
      </c>
      <c r="D143" s="307">
        <v>32260</v>
      </c>
      <c r="E143" s="307">
        <v>32540</v>
      </c>
      <c r="F143" s="307">
        <v>32990</v>
      </c>
      <c r="G143" s="307">
        <v>32710</v>
      </c>
      <c r="H143" s="307">
        <v>33610</v>
      </c>
      <c r="I143" s="307">
        <v>32930</v>
      </c>
      <c r="J143" s="307">
        <v>31430</v>
      </c>
      <c r="K143" s="307">
        <v>30220</v>
      </c>
      <c r="L143" s="307">
        <v>29030</v>
      </c>
      <c r="M143" s="307">
        <v>27750</v>
      </c>
      <c r="N143" s="307">
        <v>27760</v>
      </c>
      <c r="O143" s="307">
        <v>27510</v>
      </c>
      <c r="P143" s="307">
        <v>28550</v>
      </c>
      <c r="Q143" s="307">
        <v>28920</v>
      </c>
      <c r="R143" s="307">
        <v>29440</v>
      </c>
      <c r="S143" s="307">
        <v>30270</v>
      </c>
      <c r="T143" s="307">
        <v>31220</v>
      </c>
      <c r="U143" s="307">
        <v>31600</v>
      </c>
      <c r="V143" s="307">
        <v>32030</v>
      </c>
      <c r="W143" s="307">
        <v>32560</v>
      </c>
      <c r="X143" s="307">
        <v>32570</v>
      </c>
      <c r="Y143" s="307">
        <v>34040</v>
      </c>
      <c r="Z143" s="307">
        <v>34960</v>
      </c>
      <c r="AA143" s="307">
        <v>36610</v>
      </c>
      <c r="AB143" s="307">
        <v>37060</v>
      </c>
      <c r="AC143" s="307">
        <v>36060</v>
      </c>
      <c r="AD143" s="307">
        <v>36020</v>
      </c>
      <c r="AE143" s="307">
        <v>35510</v>
      </c>
      <c r="AF143" s="307">
        <v>35600</v>
      </c>
      <c r="AG143" s="307">
        <v>35000</v>
      </c>
      <c r="AH143" s="307">
        <v>34520</v>
      </c>
      <c r="AI143" s="307">
        <v>34330</v>
      </c>
      <c r="AJ143" s="307">
        <v>33710</v>
      </c>
      <c r="AK143" s="307">
        <v>34720</v>
      </c>
      <c r="AL143" s="307">
        <v>33990</v>
      </c>
      <c r="AM143" s="307">
        <v>33060</v>
      </c>
      <c r="AN143" s="307">
        <v>32910</v>
      </c>
      <c r="AO143" s="307">
        <v>33860</v>
      </c>
      <c r="AP143" s="307">
        <v>33600</v>
      </c>
      <c r="AQ143" s="307">
        <v>34370</v>
      </c>
      <c r="AR143" s="307">
        <v>35510</v>
      </c>
      <c r="AS143" s="307">
        <v>36380</v>
      </c>
      <c r="AT143" s="307">
        <v>35630</v>
      </c>
      <c r="AU143" s="307">
        <v>36290</v>
      </c>
      <c r="AV143" s="307">
        <v>35590</v>
      </c>
      <c r="AW143" s="307">
        <v>34850</v>
      </c>
      <c r="AX143" s="307">
        <v>34860</v>
      </c>
      <c r="AY143" s="307">
        <v>34950</v>
      </c>
      <c r="AZ143" s="307">
        <v>35080</v>
      </c>
      <c r="BA143" s="307">
        <v>35260</v>
      </c>
      <c r="BB143" s="307">
        <v>35440</v>
      </c>
      <c r="BC143" s="307">
        <v>35630</v>
      </c>
      <c r="BD143" s="307">
        <v>35810</v>
      </c>
      <c r="BE143" s="307">
        <v>35980</v>
      </c>
      <c r="BF143" s="307">
        <v>36120</v>
      </c>
    </row>
    <row r="144" spans="1:58" x14ac:dyDescent="0.2">
      <c r="A144" s="308" t="s">
        <v>46</v>
      </c>
      <c r="B144" s="305"/>
      <c r="C144" s="307">
        <v>32420</v>
      </c>
      <c r="D144" s="307">
        <v>32090</v>
      </c>
      <c r="E144" s="307">
        <v>32260</v>
      </c>
      <c r="F144" s="307">
        <v>32520</v>
      </c>
      <c r="G144" s="307">
        <v>32970</v>
      </c>
      <c r="H144" s="307">
        <v>32630</v>
      </c>
      <c r="I144" s="307">
        <v>33490</v>
      </c>
      <c r="J144" s="307">
        <v>32830</v>
      </c>
      <c r="K144" s="307">
        <v>31370</v>
      </c>
      <c r="L144" s="307">
        <v>30190</v>
      </c>
      <c r="M144" s="307">
        <v>28990</v>
      </c>
      <c r="N144" s="307">
        <v>27720</v>
      </c>
      <c r="O144" s="307">
        <v>27730</v>
      </c>
      <c r="P144" s="307">
        <v>27480</v>
      </c>
      <c r="Q144" s="307">
        <v>28520</v>
      </c>
      <c r="R144" s="307">
        <v>28890</v>
      </c>
      <c r="S144" s="307">
        <v>29410</v>
      </c>
      <c r="T144" s="307">
        <v>30240</v>
      </c>
      <c r="U144" s="307">
        <v>31190</v>
      </c>
      <c r="V144" s="307">
        <v>31570</v>
      </c>
      <c r="W144" s="307">
        <v>32000</v>
      </c>
      <c r="X144" s="307">
        <v>32530</v>
      </c>
      <c r="Y144" s="307">
        <v>32540</v>
      </c>
      <c r="Z144" s="307">
        <v>34010</v>
      </c>
      <c r="AA144" s="307">
        <v>34930</v>
      </c>
      <c r="AB144" s="307">
        <v>36570</v>
      </c>
      <c r="AC144" s="307">
        <v>37030</v>
      </c>
      <c r="AD144" s="307">
        <v>36030</v>
      </c>
      <c r="AE144" s="307">
        <v>35990</v>
      </c>
      <c r="AF144" s="307">
        <v>35480</v>
      </c>
      <c r="AG144" s="307">
        <v>35570</v>
      </c>
      <c r="AH144" s="307">
        <v>34980</v>
      </c>
      <c r="AI144" s="307">
        <v>34490</v>
      </c>
      <c r="AJ144" s="307">
        <v>34300</v>
      </c>
      <c r="AK144" s="307">
        <v>33690</v>
      </c>
      <c r="AL144" s="307">
        <v>34700</v>
      </c>
      <c r="AM144" s="307">
        <v>33960</v>
      </c>
      <c r="AN144" s="307">
        <v>33030</v>
      </c>
      <c r="AO144" s="307">
        <v>32880</v>
      </c>
      <c r="AP144" s="307">
        <v>33840</v>
      </c>
      <c r="AQ144" s="307">
        <v>33580</v>
      </c>
      <c r="AR144" s="307">
        <v>34350</v>
      </c>
      <c r="AS144" s="307">
        <v>35490</v>
      </c>
      <c r="AT144" s="307">
        <v>36360</v>
      </c>
      <c r="AU144" s="307">
        <v>35610</v>
      </c>
      <c r="AV144" s="307">
        <v>36270</v>
      </c>
      <c r="AW144" s="307">
        <v>35560</v>
      </c>
      <c r="AX144" s="307">
        <v>34830</v>
      </c>
      <c r="AY144" s="307">
        <v>34840</v>
      </c>
      <c r="AZ144" s="307">
        <v>34920</v>
      </c>
      <c r="BA144" s="307">
        <v>35060</v>
      </c>
      <c r="BB144" s="307">
        <v>35230</v>
      </c>
      <c r="BC144" s="307">
        <v>35420</v>
      </c>
      <c r="BD144" s="307">
        <v>35610</v>
      </c>
      <c r="BE144" s="307">
        <v>35790</v>
      </c>
      <c r="BF144" s="307">
        <v>35960</v>
      </c>
    </row>
    <row r="145" spans="1:58" x14ac:dyDescent="0.2">
      <c r="A145" s="308" t="s">
        <v>47</v>
      </c>
      <c r="B145" s="305"/>
      <c r="C145" s="307">
        <v>33510</v>
      </c>
      <c r="D145" s="307">
        <v>32500</v>
      </c>
      <c r="E145" s="307">
        <v>32090</v>
      </c>
      <c r="F145" s="307">
        <v>32200</v>
      </c>
      <c r="G145" s="307">
        <v>32490</v>
      </c>
      <c r="H145" s="307">
        <v>32880</v>
      </c>
      <c r="I145" s="307">
        <v>32490</v>
      </c>
      <c r="J145" s="307">
        <v>33370</v>
      </c>
      <c r="K145" s="307">
        <v>32750</v>
      </c>
      <c r="L145" s="307">
        <v>31320</v>
      </c>
      <c r="M145" s="307">
        <v>30140</v>
      </c>
      <c r="N145" s="307">
        <v>28950</v>
      </c>
      <c r="O145" s="307">
        <v>27680</v>
      </c>
      <c r="P145" s="307">
        <v>27690</v>
      </c>
      <c r="Q145" s="307">
        <v>27440</v>
      </c>
      <c r="R145" s="307">
        <v>28470</v>
      </c>
      <c r="S145" s="307">
        <v>28850</v>
      </c>
      <c r="T145" s="307">
        <v>29370</v>
      </c>
      <c r="U145" s="307">
        <v>30200</v>
      </c>
      <c r="V145" s="307">
        <v>31150</v>
      </c>
      <c r="W145" s="307">
        <v>31520</v>
      </c>
      <c r="X145" s="307">
        <v>31960</v>
      </c>
      <c r="Y145" s="307">
        <v>32490</v>
      </c>
      <c r="Z145" s="307">
        <v>32500</v>
      </c>
      <c r="AA145" s="307">
        <v>33970</v>
      </c>
      <c r="AB145" s="307">
        <v>34890</v>
      </c>
      <c r="AC145" s="307">
        <v>36530</v>
      </c>
      <c r="AD145" s="307">
        <v>36980</v>
      </c>
      <c r="AE145" s="307">
        <v>35990</v>
      </c>
      <c r="AF145" s="307">
        <v>35950</v>
      </c>
      <c r="AG145" s="307">
        <v>35440</v>
      </c>
      <c r="AH145" s="307">
        <v>35530</v>
      </c>
      <c r="AI145" s="307">
        <v>34940</v>
      </c>
      <c r="AJ145" s="307">
        <v>34450</v>
      </c>
      <c r="AK145" s="307">
        <v>34270</v>
      </c>
      <c r="AL145" s="307">
        <v>33650</v>
      </c>
      <c r="AM145" s="307">
        <v>34660</v>
      </c>
      <c r="AN145" s="307">
        <v>33930</v>
      </c>
      <c r="AO145" s="307">
        <v>33000</v>
      </c>
      <c r="AP145" s="307">
        <v>32850</v>
      </c>
      <c r="AQ145" s="307">
        <v>33800</v>
      </c>
      <c r="AR145" s="307">
        <v>33540</v>
      </c>
      <c r="AS145" s="307">
        <v>34310</v>
      </c>
      <c r="AT145" s="307">
        <v>35450</v>
      </c>
      <c r="AU145" s="307">
        <v>36320</v>
      </c>
      <c r="AV145" s="307">
        <v>35570</v>
      </c>
      <c r="AW145" s="307">
        <v>36230</v>
      </c>
      <c r="AX145" s="307">
        <v>35530</v>
      </c>
      <c r="AY145" s="307">
        <v>34790</v>
      </c>
      <c r="AZ145" s="307">
        <v>34810</v>
      </c>
      <c r="BA145" s="307">
        <v>34890</v>
      </c>
      <c r="BB145" s="307">
        <v>35030</v>
      </c>
      <c r="BC145" s="307">
        <v>35200</v>
      </c>
      <c r="BD145" s="307">
        <v>35390</v>
      </c>
      <c r="BE145" s="307">
        <v>35580</v>
      </c>
      <c r="BF145" s="307">
        <v>35760</v>
      </c>
    </row>
    <row r="146" spans="1:58" x14ac:dyDescent="0.2">
      <c r="A146" s="308" t="s">
        <v>48</v>
      </c>
      <c r="B146" s="305"/>
      <c r="C146" s="307">
        <v>34420</v>
      </c>
      <c r="D146" s="307">
        <v>33540</v>
      </c>
      <c r="E146" s="307">
        <v>32420</v>
      </c>
      <c r="F146" s="307">
        <v>32050</v>
      </c>
      <c r="G146" s="307">
        <v>32200</v>
      </c>
      <c r="H146" s="307">
        <v>32360</v>
      </c>
      <c r="I146" s="307">
        <v>32740</v>
      </c>
      <c r="J146" s="307">
        <v>32360</v>
      </c>
      <c r="K146" s="307">
        <v>33280</v>
      </c>
      <c r="L146" s="307">
        <v>32680</v>
      </c>
      <c r="M146" s="307">
        <v>31260</v>
      </c>
      <c r="N146" s="307">
        <v>30080</v>
      </c>
      <c r="O146" s="307">
        <v>28890</v>
      </c>
      <c r="P146" s="307">
        <v>27620</v>
      </c>
      <c r="Q146" s="307">
        <v>27630</v>
      </c>
      <c r="R146" s="307">
        <v>27380</v>
      </c>
      <c r="S146" s="307">
        <v>28420</v>
      </c>
      <c r="T146" s="307">
        <v>28800</v>
      </c>
      <c r="U146" s="307">
        <v>29310</v>
      </c>
      <c r="V146" s="307">
        <v>30140</v>
      </c>
      <c r="W146" s="307">
        <v>31090</v>
      </c>
      <c r="X146" s="307">
        <v>31470</v>
      </c>
      <c r="Y146" s="307">
        <v>31900</v>
      </c>
      <c r="Z146" s="307">
        <v>32430</v>
      </c>
      <c r="AA146" s="307">
        <v>32450</v>
      </c>
      <c r="AB146" s="307">
        <v>33910</v>
      </c>
      <c r="AC146" s="307">
        <v>34830</v>
      </c>
      <c r="AD146" s="307">
        <v>36470</v>
      </c>
      <c r="AE146" s="307">
        <v>36930</v>
      </c>
      <c r="AF146" s="307">
        <v>35930</v>
      </c>
      <c r="AG146" s="307">
        <v>35890</v>
      </c>
      <c r="AH146" s="307">
        <v>35380</v>
      </c>
      <c r="AI146" s="307">
        <v>35470</v>
      </c>
      <c r="AJ146" s="307">
        <v>34880</v>
      </c>
      <c r="AK146" s="307">
        <v>34400</v>
      </c>
      <c r="AL146" s="307">
        <v>34210</v>
      </c>
      <c r="AM146" s="307">
        <v>33600</v>
      </c>
      <c r="AN146" s="307">
        <v>34610</v>
      </c>
      <c r="AO146" s="307">
        <v>33880</v>
      </c>
      <c r="AP146" s="307">
        <v>32950</v>
      </c>
      <c r="AQ146" s="307">
        <v>32800</v>
      </c>
      <c r="AR146" s="307">
        <v>33750</v>
      </c>
      <c r="AS146" s="307">
        <v>33490</v>
      </c>
      <c r="AT146" s="307">
        <v>34260</v>
      </c>
      <c r="AU146" s="307">
        <v>35410</v>
      </c>
      <c r="AV146" s="307">
        <v>36280</v>
      </c>
      <c r="AW146" s="307">
        <v>35520</v>
      </c>
      <c r="AX146" s="307">
        <v>36190</v>
      </c>
      <c r="AY146" s="307">
        <v>35480</v>
      </c>
      <c r="AZ146" s="307">
        <v>34750</v>
      </c>
      <c r="BA146" s="307">
        <v>34760</v>
      </c>
      <c r="BB146" s="307">
        <v>34840</v>
      </c>
      <c r="BC146" s="307">
        <v>34980</v>
      </c>
      <c r="BD146" s="307">
        <v>35160</v>
      </c>
      <c r="BE146" s="307">
        <v>35340</v>
      </c>
      <c r="BF146" s="307">
        <v>35530</v>
      </c>
    </row>
    <row r="147" spans="1:58" x14ac:dyDescent="0.2">
      <c r="A147" s="308" t="s">
        <v>49</v>
      </c>
      <c r="B147" s="305"/>
      <c r="C147" s="307">
        <v>34170</v>
      </c>
      <c r="D147" s="307">
        <v>34440</v>
      </c>
      <c r="E147" s="307">
        <v>33430</v>
      </c>
      <c r="F147" s="307">
        <v>32370</v>
      </c>
      <c r="G147" s="307">
        <v>32030</v>
      </c>
      <c r="H147" s="307">
        <v>32070</v>
      </c>
      <c r="I147" s="307">
        <v>32210</v>
      </c>
      <c r="J147" s="307">
        <v>32600</v>
      </c>
      <c r="K147" s="307">
        <v>32260</v>
      </c>
      <c r="L147" s="307">
        <v>33200</v>
      </c>
      <c r="M147" s="307">
        <v>32600</v>
      </c>
      <c r="N147" s="307">
        <v>31180</v>
      </c>
      <c r="O147" s="307">
        <v>30010</v>
      </c>
      <c r="P147" s="307">
        <v>28820</v>
      </c>
      <c r="Q147" s="307">
        <v>27550</v>
      </c>
      <c r="R147" s="307">
        <v>27560</v>
      </c>
      <c r="S147" s="307">
        <v>27320</v>
      </c>
      <c r="T147" s="307">
        <v>28350</v>
      </c>
      <c r="U147" s="307">
        <v>28730</v>
      </c>
      <c r="V147" s="307">
        <v>29240</v>
      </c>
      <c r="W147" s="307">
        <v>30070</v>
      </c>
      <c r="X147" s="307">
        <v>31020</v>
      </c>
      <c r="Y147" s="307">
        <v>31400</v>
      </c>
      <c r="Z147" s="307">
        <v>31830</v>
      </c>
      <c r="AA147" s="307">
        <v>32370</v>
      </c>
      <c r="AB147" s="307">
        <v>32380</v>
      </c>
      <c r="AC147" s="307">
        <v>33840</v>
      </c>
      <c r="AD147" s="307">
        <v>34760</v>
      </c>
      <c r="AE147" s="307">
        <v>36410</v>
      </c>
      <c r="AF147" s="307">
        <v>36860</v>
      </c>
      <c r="AG147" s="307">
        <v>35870</v>
      </c>
      <c r="AH147" s="307">
        <v>35830</v>
      </c>
      <c r="AI147" s="307">
        <v>35320</v>
      </c>
      <c r="AJ147" s="307">
        <v>35410</v>
      </c>
      <c r="AK147" s="307">
        <v>34820</v>
      </c>
      <c r="AL147" s="307">
        <v>34340</v>
      </c>
      <c r="AM147" s="307">
        <v>34150</v>
      </c>
      <c r="AN147" s="307">
        <v>33540</v>
      </c>
      <c r="AO147" s="307">
        <v>34540</v>
      </c>
      <c r="AP147" s="307">
        <v>33810</v>
      </c>
      <c r="AQ147" s="307">
        <v>32890</v>
      </c>
      <c r="AR147" s="307">
        <v>32740</v>
      </c>
      <c r="AS147" s="307">
        <v>33690</v>
      </c>
      <c r="AT147" s="307">
        <v>33430</v>
      </c>
      <c r="AU147" s="307">
        <v>34200</v>
      </c>
      <c r="AV147" s="307">
        <v>35350</v>
      </c>
      <c r="AW147" s="307">
        <v>36220</v>
      </c>
      <c r="AX147" s="307">
        <v>35460</v>
      </c>
      <c r="AY147" s="307">
        <v>36130</v>
      </c>
      <c r="AZ147" s="307">
        <v>35420</v>
      </c>
      <c r="BA147" s="307">
        <v>34690</v>
      </c>
      <c r="BB147" s="307">
        <v>34700</v>
      </c>
      <c r="BC147" s="307">
        <v>34790</v>
      </c>
      <c r="BD147" s="307">
        <v>34920</v>
      </c>
      <c r="BE147" s="307">
        <v>35100</v>
      </c>
      <c r="BF147" s="307">
        <v>35290</v>
      </c>
    </row>
    <row r="148" spans="1:58" x14ac:dyDescent="0.2">
      <c r="A148" s="308" t="s">
        <v>50</v>
      </c>
      <c r="B148" s="305"/>
      <c r="C148" s="307">
        <v>33510</v>
      </c>
      <c r="D148" s="307">
        <v>34140</v>
      </c>
      <c r="E148" s="307">
        <v>34280</v>
      </c>
      <c r="F148" s="307">
        <v>33330</v>
      </c>
      <c r="G148" s="307">
        <v>32310</v>
      </c>
      <c r="H148" s="307">
        <v>31930</v>
      </c>
      <c r="I148" s="307">
        <v>31910</v>
      </c>
      <c r="J148" s="307">
        <v>32060</v>
      </c>
      <c r="K148" s="307">
        <v>32480</v>
      </c>
      <c r="L148" s="307">
        <v>32170</v>
      </c>
      <c r="M148" s="307">
        <v>33110</v>
      </c>
      <c r="N148" s="307">
        <v>32510</v>
      </c>
      <c r="O148" s="307">
        <v>31090</v>
      </c>
      <c r="P148" s="307">
        <v>29920</v>
      </c>
      <c r="Q148" s="307">
        <v>28730</v>
      </c>
      <c r="R148" s="307">
        <v>27470</v>
      </c>
      <c r="S148" s="307">
        <v>27480</v>
      </c>
      <c r="T148" s="307">
        <v>27240</v>
      </c>
      <c r="U148" s="307">
        <v>28270</v>
      </c>
      <c r="V148" s="307">
        <v>28650</v>
      </c>
      <c r="W148" s="307">
        <v>29160</v>
      </c>
      <c r="X148" s="307">
        <v>29990</v>
      </c>
      <c r="Y148" s="307">
        <v>30940</v>
      </c>
      <c r="Z148" s="307">
        <v>31320</v>
      </c>
      <c r="AA148" s="307">
        <v>31750</v>
      </c>
      <c r="AB148" s="307">
        <v>32280</v>
      </c>
      <c r="AC148" s="307">
        <v>32300</v>
      </c>
      <c r="AD148" s="307">
        <v>33760</v>
      </c>
      <c r="AE148" s="307">
        <v>34680</v>
      </c>
      <c r="AF148" s="307">
        <v>36320</v>
      </c>
      <c r="AG148" s="307">
        <v>36770</v>
      </c>
      <c r="AH148" s="307">
        <v>35790</v>
      </c>
      <c r="AI148" s="307">
        <v>35750</v>
      </c>
      <c r="AJ148" s="307">
        <v>35240</v>
      </c>
      <c r="AK148" s="307">
        <v>35330</v>
      </c>
      <c r="AL148" s="307">
        <v>34740</v>
      </c>
      <c r="AM148" s="307">
        <v>34260</v>
      </c>
      <c r="AN148" s="307">
        <v>34080</v>
      </c>
      <c r="AO148" s="307">
        <v>33460</v>
      </c>
      <c r="AP148" s="307">
        <v>34470</v>
      </c>
      <c r="AQ148" s="307">
        <v>33740</v>
      </c>
      <c r="AR148" s="307">
        <v>32820</v>
      </c>
      <c r="AS148" s="307">
        <v>32670</v>
      </c>
      <c r="AT148" s="307">
        <v>33620</v>
      </c>
      <c r="AU148" s="307">
        <v>33360</v>
      </c>
      <c r="AV148" s="307">
        <v>34130</v>
      </c>
      <c r="AW148" s="307">
        <v>35270</v>
      </c>
      <c r="AX148" s="307">
        <v>36140</v>
      </c>
      <c r="AY148" s="307">
        <v>35390</v>
      </c>
      <c r="AZ148" s="307">
        <v>36060</v>
      </c>
      <c r="BA148" s="307">
        <v>35350</v>
      </c>
      <c r="BB148" s="307">
        <v>34620</v>
      </c>
      <c r="BC148" s="307">
        <v>34630</v>
      </c>
      <c r="BD148" s="307">
        <v>34720</v>
      </c>
      <c r="BE148" s="307">
        <v>34860</v>
      </c>
      <c r="BF148" s="307">
        <v>35030</v>
      </c>
    </row>
    <row r="149" spans="1:58" x14ac:dyDescent="0.2">
      <c r="A149" s="308" t="s">
        <v>51</v>
      </c>
      <c r="B149" s="305"/>
      <c r="C149" s="307">
        <v>31920</v>
      </c>
      <c r="D149" s="307">
        <v>33490</v>
      </c>
      <c r="E149" s="307">
        <v>34040</v>
      </c>
      <c r="F149" s="307">
        <v>34150</v>
      </c>
      <c r="G149" s="307">
        <v>33230</v>
      </c>
      <c r="H149" s="307">
        <v>32170</v>
      </c>
      <c r="I149" s="307">
        <v>31750</v>
      </c>
      <c r="J149" s="307">
        <v>31740</v>
      </c>
      <c r="K149" s="307">
        <v>31930</v>
      </c>
      <c r="L149" s="307">
        <v>32380</v>
      </c>
      <c r="M149" s="307">
        <v>32060</v>
      </c>
      <c r="N149" s="307">
        <v>33000</v>
      </c>
      <c r="O149" s="307">
        <v>32410</v>
      </c>
      <c r="P149" s="307">
        <v>30990</v>
      </c>
      <c r="Q149" s="307">
        <v>29820</v>
      </c>
      <c r="R149" s="307">
        <v>28640</v>
      </c>
      <c r="S149" s="307">
        <v>27370</v>
      </c>
      <c r="T149" s="307">
        <v>27380</v>
      </c>
      <c r="U149" s="307">
        <v>27140</v>
      </c>
      <c r="V149" s="307">
        <v>28170</v>
      </c>
      <c r="W149" s="307">
        <v>28550</v>
      </c>
      <c r="X149" s="307">
        <v>29070</v>
      </c>
      <c r="Y149" s="307">
        <v>29900</v>
      </c>
      <c r="Z149" s="307">
        <v>30850</v>
      </c>
      <c r="AA149" s="307">
        <v>31220</v>
      </c>
      <c r="AB149" s="307">
        <v>31660</v>
      </c>
      <c r="AC149" s="307">
        <v>32190</v>
      </c>
      <c r="AD149" s="307">
        <v>32200</v>
      </c>
      <c r="AE149" s="307">
        <v>33670</v>
      </c>
      <c r="AF149" s="307">
        <v>34590</v>
      </c>
      <c r="AG149" s="307">
        <v>36230</v>
      </c>
      <c r="AH149" s="307">
        <v>36680</v>
      </c>
      <c r="AI149" s="307">
        <v>35690</v>
      </c>
      <c r="AJ149" s="307">
        <v>35660</v>
      </c>
      <c r="AK149" s="307">
        <v>35150</v>
      </c>
      <c r="AL149" s="307">
        <v>35240</v>
      </c>
      <c r="AM149" s="307">
        <v>34650</v>
      </c>
      <c r="AN149" s="307">
        <v>34170</v>
      </c>
      <c r="AO149" s="307">
        <v>33990</v>
      </c>
      <c r="AP149" s="307">
        <v>33380</v>
      </c>
      <c r="AQ149" s="307">
        <v>34380</v>
      </c>
      <c r="AR149" s="307">
        <v>33650</v>
      </c>
      <c r="AS149" s="307">
        <v>32730</v>
      </c>
      <c r="AT149" s="307">
        <v>32580</v>
      </c>
      <c r="AU149" s="307">
        <v>33530</v>
      </c>
      <c r="AV149" s="307">
        <v>33280</v>
      </c>
      <c r="AW149" s="307">
        <v>34050</v>
      </c>
      <c r="AX149" s="307">
        <v>35190</v>
      </c>
      <c r="AY149" s="307">
        <v>36060</v>
      </c>
      <c r="AZ149" s="307">
        <v>35310</v>
      </c>
      <c r="BA149" s="307">
        <v>35970</v>
      </c>
      <c r="BB149" s="307">
        <v>35270</v>
      </c>
      <c r="BC149" s="307">
        <v>34540</v>
      </c>
      <c r="BD149" s="307">
        <v>34550</v>
      </c>
      <c r="BE149" s="307">
        <v>34640</v>
      </c>
      <c r="BF149" s="307">
        <v>34770</v>
      </c>
    </row>
    <row r="150" spans="1:58" x14ac:dyDescent="0.2">
      <c r="A150" s="308" t="s">
        <v>52</v>
      </c>
      <c r="B150" s="305"/>
      <c r="C150" s="307">
        <v>31370</v>
      </c>
      <c r="D150" s="307">
        <v>31850</v>
      </c>
      <c r="E150" s="307">
        <v>33350</v>
      </c>
      <c r="F150" s="307">
        <v>33910</v>
      </c>
      <c r="G150" s="307">
        <v>34070</v>
      </c>
      <c r="H150" s="307">
        <v>33100</v>
      </c>
      <c r="I150" s="307">
        <v>31980</v>
      </c>
      <c r="J150" s="307">
        <v>31580</v>
      </c>
      <c r="K150" s="307">
        <v>31600</v>
      </c>
      <c r="L150" s="307">
        <v>31810</v>
      </c>
      <c r="M150" s="307">
        <v>32250</v>
      </c>
      <c r="N150" s="307">
        <v>31940</v>
      </c>
      <c r="O150" s="307">
        <v>32880</v>
      </c>
      <c r="P150" s="307">
        <v>32290</v>
      </c>
      <c r="Q150" s="307">
        <v>30880</v>
      </c>
      <c r="R150" s="307">
        <v>29710</v>
      </c>
      <c r="S150" s="307">
        <v>28530</v>
      </c>
      <c r="T150" s="307">
        <v>27260</v>
      </c>
      <c r="U150" s="307">
        <v>27280</v>
      </c>
      <c r="V150" s="307">
        <v>27040</v>
      </c>
      <c r="W150" s="307">
        <v>28070</v>
      </c>
      <c r="X150" s="307">
        <v>28450</v>
      </c>
      <c r="Y150" s="307">
        <v>28960</v>
      </c>
      <c r="Z150" s="307">
        <v>29790</v>
      </c>
      <c r="AA150" s="307">
        <v>30740</v>
      </c>
      <c r="AB150" s="307">
        <v>31120</v>
      </c>
      <c r="AC150" s="307">
        <v>31550</v>
      </c>
      <c r="AD150" s="307">
        <v>32090</v>
      </c>
      <c r="AE150" s="307">
        <v>32100</v>
      </c>
      <c r="AF150" s="307">
        <v>33560</v>
      </c>
      <c r="AG150" s="307">
        <v>34480</v>
      </c>
      <c r="AH150" s="307">
        <v>36120</v>
      </c>
      <c r="AI150" s="307">
        <v>36580</v>
      </c>
      <c r="AJ150" s="307">
        <v>35590</v>
      </c>
      <c r="AK150" s="307">
        <v>35550</v>
      </c>
      <c r="AL150" s="307">
        <v>35050</v>
      </c>
      <c r="AM150" s="307">
        <v>35140</v>
      </c>
      <c r="AN150" s="307">
        <v>34550</v>
      </c>
      <c r="AO150" s="307">
        <v>34070</v>
      </c>
      <c r="AP150" s="307">
        <v>33890</v>
      </c>
      <c r="AQ150" s="307">
        <v>33280</v>
      </c>
      <c r="AR150" s="307">
        <v>34280</v>
      </c>
      <c r="AS150" s="307">
        <v>33560</v>
      </c>
      <c r="AT150" s="307">
        <v>32630</v>
      </c>
      <c r="AU150" s="307">
        <v>32490</v>
      </c>
      <c r="AV150" s="307">
        <v>33440</v>
      </c>
      <c r="AW150" s="307">
        <v>33180</v>
      </c>
      <c r="AX150" s="307">
        <v>33950</v>
      </c>
      <c r="AY150" s="307">
        <v>35090</v>
      </c>
      <c r="AZ150" s="307">
        <v>35960</v>
      </c>
      <c r="BA150" s="307">
        <v>35210</v>
      </c>
      <c r="BB150" s="307">
        <v>35880</v>
      </c>
      <c r="BC150" s="307">
        <v>35180</v>
      </c>
      <c r="BD150" s="307">
        <v>34440</v>
      </c>
      <c r="BE150" s="307">
        <v>34460</v>
      </c>
      <c r="BF150" s="307">
        <v>34540</v>
      </c>
    </row>
    <row r="151" spans="1:58" x14ac:dyDescent="0.2">
      <c r="A151" s="308" t="s">
        <v>53</v>
      </c>
      <c r="B151" s="305"/>
      <c r="C151" s="307">
        <v>29970</v>
      </c>
      <c r="D151" s="307">
        <v>31260</v>
      </c>
      <c r="E151" s="307">
        <v>31700</v>
      </c>
      <c r="F151" s="307">
        <v>33210</v>
      </c>
      <c r="G151" s="307">
        <v>33810</v>
      </c>
      <c r="H151" s="307">
        <v>33920</v>
      </c>
      <c r="I151" s="307">
        <v>32900</v>
      </c>
      <c r="J151" s="307">
        <v>31790</v>
      </c>
      <c r="K151" s="307">
        <v>31420</v>
      </c>
      <c r="L151" s="307">
        <v>31470</v>
      </c>
      <c r="M151" s="307">
        <v>31670</v>
      </c>
      <c r="N151" s="307">
        <v>32120</v>
      </c>
      <c r="O151" s="307">
        <v>31810</v>
      </c>
      <c r="P151" s="307">
        <v>32750</v>
      </c>
      <c r="Q151" s="307">
        <v>32160</v>
      </c>
      <c r="R151" s="307">
        <v>30750</v>
      </c>
      <c r="S151" s="307">
        <v>29580</v>
      </c>
      <c r="T151" s="307">
        <v>28410</v>
      </c>
      <c r="U151" s="307">
        <v>27150</v>
      </c>
      <c r="V151" s="307">
        <v>27160</v>
      </c>
      <c r="W151" s="307">
        <v>26920</v>
      </c>
      <c r="X151" s="307">
        <v>27950</v>
      </c>
      <c r="Y151" s="307">
        <v>28330</v>
      </c>
      <c r="Z151" s="307">
        <v>28850</v>
      </c>
      <c r="AA151" s="307">
        <v>29680</v>
      </c>
      <c r="AB151" s="307">
        <v>30630</v>
      </c>
      <c r="AC151" s="307">
        <v>31000</v>
      </c>
      <c r="AD151" s="307">
        <v>31440</v>
      </c>
      <c r="AE151" s="307">
        <v>31970</v>
      </c>
      <c r="AF151" s="307">
        <v>31980</v>
      </c>
      <c r="AG151" s="307">
        <v>33450</v>
      </c>
      <c r="AH151" s="307">
        <v>34370</v>
      </c>
      <c r="AI151" s="307">
        <v>36010</v>
      </c>
      <c r="AJ151" s="307">
        <v>36460</v>
      </c>
      <c r="AK151" s="307">
        <v>35480</v>
      </c>
      <c r="AL151" s="307">
        <v>35440</v>
      </c>
      <c r="AM151" s="307">
        <v>34930</v>
      </c>
      <c r="AN151" s="307">
        <v>35030</v>
      </c>
      <c r="AO151" s="307">
        <v>34440</v>
      </c>
      <c r="AP151" s="307">
        <v>33960</v>
      </c>
      <c r="AQ151" s="307">
        <v>33780</v>
      </c>
      <c r="AR151" s="307">
        <v>33170</v>
      </c>
      <c r="AS151" s="307">
        <v>34170</v>
      </c>
      <c r="AT151" s="307">
        <v>33450</v>
      </c>
      <c r="AU151" s="307">
        <v>32530</v>
      </c>
      <c r="AV151" s="307">
        <v>32380</v>
      </c>
      <c r="AW151" s="307">
        <v>33330</v>
      </c>
      <c r="AX151" s="307">
        <v>33080</v>
      </c>
      <c r="AY151" s="307">
        <v>33850</v>
      </c>
      <c r="AZ151" s="307">
        <v>34990</v>
      </c>
      <c r="BA151" s="307">
        <v>35860</v>
      </c>
      <c r="BB151" s="307">
        <v>35110</v>
      </c>
      <c r="BC151" s="307">
        <v>35770</v>
      </c>
      <c r="BD151" s="307">
        <v>35070</v>
      </c>
      <c r="BE151" s="307">
        <v>34340</v>
      </c>
      <c r="BF151" s="307">
        <v>34360</v>
      </c>
    </row>
    <row r="152" spans="1:58" x14ac:dyDescent="0.2">
      <c r="A152" s="308" t="s">
        <v>54</v>
      </c>
      <c r="B152" s="305"/>
      <c r="C152" s="307">
        <v>29280</v>
      </c>
      <c r="D152" s="307">
        <v>29840</v>
      </c>
      <c r="E152" s="307">
        <v>31140</v>
      </c>
      <c r="F152" s="307">
        <v>31590</v>
      </c>
      <c r="G152" s="307">
        <v>33120</v>
      </c>
      <c r="H152" s="307">
        <v>33620</v>
      </c>
      <c r="I152" s="307">
        <v>33710</v>
      </c>
      <c r="J152" s="307">
        <v>32700</v>
      </c>
      <c r="K152" s="307">
        <v>31630</v>
      </c>
      <c r="L152" s="307">
        <v>31280</v>
      </c>
      <c r="M152" s="307">
        <v>31330</v>
      </c>
      <c r="N152" s="307">
        <v>31540</v>
      </c>
      <c r="O152" s="307">
        <v>31990</v>
      </c>
      <c r="P152" s="307">
        <v>31680</v>
      </c>
      <c r="Q152" s="307">
        <v>32610</v>
      </c>
      <c r="R152" s="307">
        <v>32030</v>
      </c>
      <c r="S152" s="307">
        <v>30620</v>
      </c>
      <c r="T152" s="307">
        <v>29460</v>
      </c>
      <c r="U152" s="307">
        <v>28280</v>
      </c>
      <c r="V152" s="307">
        <v>27020</v>
      </c>
      <c r="W152" s="307">
        <v>27040</v>
      </c>
      <c r="X152" s="307">
        <v>26800</v>
      </c>
      <c r="Y152" s="307">
        <v>27830</v>
      </c>
      <c r="Z152" s="307">
        <v>28210</v>
      </c>
      <c r="AA152" s="307">
        <v>28730</v>
      </c>
      <c r="AB152" s="307">
        <v>29560</v>
      </c>
      <c r="AC152" s="307">
        <v>30510</v>
      </c>
      <c r="AD152" s="307">
        <v>30880</v>
      </c>
      <c r="AE152" s="307">
        <v>31320</v>
      </c>
      <c r="AF152" s="307">
        <v>31850</v>
      </c>
      <c r="AG152" s="307">
        <v>31870</v>
      </c>
      <c r="AH152" s="307">
        <v>33330</v>
      </c>
      <c r="AI152" s="307">
        <v>34250</v>
      </c>
      <c r="AJ152" s="307">
        <v>35890</v>
      </c>
      <c r="AK152" s="307">
        <v>36340</v>
      </c>
      <c r="AL152" s="307">
        <v>35360</v>
      </c>
      <c r="AM152" s="307">
        <v>35320</v>
      </c>
      <c r="AN152" s="307">
        <v>34820</v>
      </c>
      <c r="AO152" s="307">
        <v>34910</v>
      </c>
      <c r="AP152" s="307">
        <v>34330</v>
      </c>
      <c r="AQ152" s="307">
        <v>33850</v>
      </c>
      <c r="AR152" s="307">
        <v>33670</v>
      </c>
      <c r="AS152" s="307">
        <v>33060</v>
      </c>
      <c r="AT152" s="307">
        <v>34060</v>
      </c>
      <c r="AU152" s="307">
        <v>33340</v>
      </c>
      <c r="AV152" s="307">
        <v>32420</v>
      </c>
      <c r="AW152" s="307">
        <v>32270</v>
      </c>
      <c r="AX152" s="307">
        <v>33220</v>
      </c>
      <c r="AY152" s="307">
        <v>32970</v>
      </c>
      <c r="AZ152" s="307">
        <v>33740</v>
      </c>
      <c r="BA152" s="307">
        <v>34880</v>
      </c>
      <c r="BB152" s="307">
        <v>35750</v>
      </c>
      <c r="BC152" s="307">
        <v>35000</v>
      </c>
      <c r="BD152" s="307">
        <v>35670</v>
      </c>
      <c r="BE152" s="307">
        <v>34970</v>
      </c>
      <c r="BF152" s="307">
        <v>34240</v>
      </c>
    </row>
    <row r="153" spans="1:58" x14ac:dyDescent="0.2">
      <c r="A153" s="308" t="s">
        <v>55</v>
      </c>
      <c r="B153" s="305"/>
      <c r="C153" s="307">
        <v>28580</v>
      </c>
      <c r="D153" s="307">
        <v>29140</v>
      </c>
      <c r="E153" s="307">
        <v>29710</v>
      </c>
      <c r="F153" s="307">
        <v>31020</v>
      </c>
      <c r="G153" s="307">
        <v>31490</v>
      </c>
      <c r="H153" s="307">
        <v>32940</v>
      </c>
      <c r="I153" s="307">
        <v>33420</v>
      </c>
      <c r="J153" s="307">
        <v>33520</v>
      </c>
      <c r="K153" s="307">
        <v>32540</v>
      </c>
      <c r="L153" s="307">
        <v>31490</v>
      </c>
      <c r="M153" s="307">
        <v>31150</v>
      </c>
      <c r="N153" s="307">
        <v>31190</v>
      </c>
      <c r="O153" s="307">
        <v>31400</v>
      </c>
      <c r="P153" s="307">
        <v>31850</v>
      </c>
      <c r="Q153" s="307">
        <v>31550</v>
      </c>
      <c r="R153" s="307">
        <v>32480</v>
      </c>
      <c r="S153" s="307">
        <v>31900</v>
      </c>
      <c r="T153" s="307">
        <v>30500</v>
      </c>
      <c r="U153" s="307">
        <v>29330</v>
      </c>
      <c r="V153" s="307">
        <v>28160</v>
      </c>
      <c r="W153" s="307">
        <v>26910</v>
      </c>
      <c r="X153" s="307">
        <v>26920</v>
      </c>
      <c r="Y153" s="307">
        <v>26680</v>
      </c>
      <c r="Z153" s="307">
        <v>27710</v>
      </c>
      <c r="AA153" s="307">
        <v>28100</v>
      </c>
      <c r="AB153" s="307">
        <v>28610</v>
      </c>
      <c r="AC153" s="307">
        <v>29440</v>
      </c>
      <c r="AD153" s="307">
        <v>30390</v>
      </c>
      <c r="AE153" s="307">
        <v>30770</v>
      </c>
      <c r="AF153" s="307">
        <v>31200</v>
      </c>
      <c r="AG153" s="307">
        <v>31740</v>
      </c>
      <c r="AH153" s="307">
        <v>31750</v>
      </c>
      <c r="AI153" s="307">
        <v>33220</v>
      </c>
      <c r="AJ153" s="307">
        <v>34130</v>
      </c>
      <c r="AK153" s="307">
        <v>35770</v>
      </c>
      <c r="AL153" s="307">
        <v>36230</v>
      </c>
      <c r="AM153" s="307">
        <v>35250</v>
      </c>
      <c r="AN153" s="307">
        <v>35210</v>
      </c>
      <c r="AO153" s="307">
        <v>34710</v>
      </c>
      <c r="AP153" s="307">
        <v>34800</v>
      </c>
      <c r="AQ153" s="307">
        <v>34220</v>
      </c>
      <c r="AR153" s="307">
        <v>33740</v>
      </c>
      <c r="AS153" s="307">
        <v>33560</v>
      </c>
      <c r="AT153" s="307">
        <v>32950</v>
      </c>
      <c r="AU153" s="307">
        <v>33960</v>
      </c>
      <c r="AV153" s="307">
        <v>33240</v>
      </c>
      <c r="AW153" s="307">
        <v>32320</v>
      </c>
      <c r="AX153" s="307">
        <v>32170</v>
      </c>
      <c r="AY153" s="307">
        <v>33120</v>
      </c>
      <c r="AZ153" s="307">
        <v>32870</v>
      </c>
      <c r="BA153" s="307">
        <v>33640</v>
      </c>
      <c r="BB153" s="307">
        <v>34780</v>
      </c>
      <c r="BC153" s="307">
        <v>35650</v>
      </c>
      <c r="BD153" s="307">
        <v>34900</v>
      </c>
      <c r="BE153" s="307">
        <v>35570</v>
      </c>
      <c r="BF153" s="307">
        <v>34870</v>
      </c>
    </row>
    <row r="154" spans="1:58" x14ac:dyDescent="0.2">
      <c r="A154" s="308" t="s">
        <v>56</v>
      </c>
      <c r="B154" s="305"/>
      <c r="C154" s="307">
        <v>27550</v>
      </c>
      <c r="D154" s="307">
        <v>28470</v>
      </c>
      <c r="E154" s="307">
        <v>29000</v>
      </c>
      <c r="F154" s="307">
        <v>29560</v>
      </c>
      <c r="G154" s="307">
        <v>30920</v>
      </c>
      <c r="H154" s="307">
        <v>31320</v>
      </c>
      <c r="I154" s="307">
        <v>32740</v>
      </c>
      <c r="J154" s="307">
        <v>33230</v>
      </c>
      <c r="K154" s="307">
        <v>33360</v>
      </c>
      <c r="L154" s="307">
        <v>32410</v>
      </c>
      <c r="M154" s="307">
        <v>31360</v>
      </c>
      <c r="N154" s="307">
        <v>31020</v>
      </c>
      <c r="O154" s="307">
        <v>31070</v>
      </c>
      <c r="P154" s="307">
        <v>31280</v>
      </c>
      <c r="Q154" s="307">
        <v>31730</v>
      </c>
      <c r="R154" s="307">
        <v>31420</v>
      </c>
      <c r="S154" s="307">
        <v>32360</v>
      </c>
      <c r="T154" s="307">
        <v>31780</v>
      </c>
      <c r="U154" s="307">
        <v>30380</v>
      </c>
      <c r="V154" s="307">
        <v>29220</v>
      </c>
      <c r="W154" s="307">
        <v>28050</v>
      </c>
      <c r="X154" s="307">
        <v>26800</v>
      </c>
      <c r="Y154" s="307">
        <v>26810</v>
      </c>
      <c r="Z154" s="307">
        <v>26580</v>
      </c>
      <c r="AA154" s="307">
        <v>27610</v>
      </c>
      <c r="AB154" s="307">
        <v>27990</v>
      </c>
      <c r="AC154" s="307">
        <v>28510</v>
      </c>
      <c r="AD154" s="307">
        <v>29330</v>
      </c>
      <c r="AE154" s="307">
        <v>30280</v>
      </c>
      <c r="AF154" s="307">
        <v>30660</v>
      </c>
      <c r="AG154" s="307">
        <v>31100</v>
      </c>
      <c r="AH154" s="307">
        <v>31630</v>
      </c>
      <c r="AI154" s="307">
        <v>31650</v>
      </c>
      <c r="AJ154" s="307">
        <v>33110</v>
      </c>
      <c r="AK154" s="307">
        <v>34030</v>
      </c>
      <c r="AL154" s="307">
        <v>35670</v>
      </c>
      <c r="AM154" s="307">
        <v>36120</v>
      </c>
      <c r="AN154" s="307">
        <v>35140</v>
      </c>
      <c r="AO154" s="307">
        <v>35110</v>
      </c>
      <c r="AP154" s="307">
        <v>34610</v>
      </c>
      <c r="AQ154" s="307">
        <v>34700</v>
      </c>
      <c r="AR154" s="307">
        <v>34120</v>
      </c>
      <c r="AS154" s="307">
        <v>33640</v>
      </c>
      <c r="AT154" s="307">
        <v>33460</v>
      </c>
      <c r="AU154" s="307">
        <v>32860</v>
      </c>
      <c r="AV154" s="307">
        <v>33860</v>
      </c>
      <c r="AW154" s="307">
        <v>33140</v>
      </c>
      <c r="AX154" s="307">
        <v>32220</v>
      </c>
      <c r="AY154" s="307">
        <v>32080</v>
      </c>
      <c r="AZ154" s="307">
        <v>33030</v>
      </c>
      <c r="BA154" s="307">
        <v>32770</v>
      </c>
      <c r="BB154" s="307">
        <v>33540</v>
      </c>
      <c r="BC154" s="307">
        <v>34690</v>
      </c>
      <c r="BD154" s="307">
        <v>35560</v>
      </c>
      <c r="BE154" s="307">
        <v>34810</v>
      </c>
      <c r="BF154" s="307">
        <v>35470</v>
      </c>
    </row>
    <row r="155" spans="1:58" x14ac:dyDescent="0.2">
      <c r="A155" s="308" t="s">
        <v>57</v>
      </c>
      <c r="B155" s="305"/>
      <c r="C155" s="307">
        <v>26780</v>
      </c>
      <c r="D155" s="307">
        <v>27410</v>
      </c>
      <c r="E155" s="307">
        <v>28320</v>
      </c>
      <c r="F155" s="307">
        <v>28840</v>
      </c>
      <c r="G155" s="307">
        <v>29510</v>
      </c>
      <c r="H155" s="307">
        <v>30760</v>
      </c>
      <c r="I155" s="307">
        <v>31130</v>
      </c>
      <c r="J155" s="307">
        <v>32560</v>
      </c>
      <c r="K155" s="307">
        <v>33080</v>
      </c>
      <c r="L155" s="307">
        <v>33230</v>
      </c>
      <c r="M155" s="307">
        <v>32280</v>
      </c>
      <c r="N155" s="307">
        <v>31240</v>
      </c>
      <c r="O155" s="307">
        <v>30900</v>
      </c>
      <c r="P155" s="307">
        <v>30950</v>
      </c>
      <c r="Q155" s="307">
        <v>31160</v>
      </c>
      <c r="R155" s="307">
        <v>31610</v>
      </c>
      <c r="S155" s="307">
        <v>31310</v>
      </c>
      <c r="T155" s="307">
        <v>32240</v>
      </c>
      <c r="U155" s="307">
        <v>31670</v>
      </c>
      <c r="V155" s="307">
        <v>30270</v>
      </c>
      <c r="W155" s="307">
        <v>29110</v>
      </c>
      <c r="X155" s="307">
        <v>27950</v>
      </c>
      <c r="Y155" s="307">
        <v>26700</v>
      </c>
      <c r="Z155" s="307">
        <v>26710</v>
      </c>
      <c r="AA155" s="307">
        <v>26480</v>
      </c>
      <c r="AB155" s="307">
        <v>27510</v>
      </c>
      <c r="AC155" s="307">
        <v>27890</v>
      </c>
      <c r="AD155" s="307">
        <v>28410</v>
      </c>
      <c r="AE155" s="307">
        <v>29240</v>
      </c>
      <c r="AF155" s="307">
        <v>30190</v>
      </c>
      <c r="AG155" s="307">
        <v>30560</v>
      </c>
      <c r="AH155" s="307">
        <v>31000</v>
      </c>
      <c r="AI155" s="307">
        <v>31540</v>
      </c>
      <c r="AJ155" s="307">
        <v>31550</v>
      </c>
      <c r="AK155" s="307">
        <v>33010</v>
      </c>
      <c r="AL155" s="307">
        <v>33930</v>
      </c>
      <c r="AM155" s="307">
        <v>35570</v>
      </c>
      <c r="AN155" s="307">
        <v>36020</v>
      </c>
      <c r="AO155" s="307">
        <v>35050</v>
      </c>
      <c r="AP155" s="307">
        <v>35010</v>
      </c>
      <c r="AQ155" s="307">
        <v>34510</v>
      </c>
      <c r="AR155" s="307">
        <v>34610</v>
      </c>
      <c r="AS155" s="307">
        <v>34030</v>
      </c>
      <c r="AT155" s="307">
        <v>33560</v>
      </c>
      <c r="AU155" s="307">
        <v>33370</v>
      </c>
      <c r="AV155" s="307">
        <v>32770</v>
      </c>
      <c r="AW155" s="307">
        <v>33780</v>
      </c>
      <c r="AX155" s="307">
        <v>33050</v>
      </c>
      <c r="AY155" s="307">
        <v>32140</v>
      </c>
      <c r="AZ155" s="307">
        <v>31990</v>
      </c>
      <c r="BA155" s="307">
        <v>32940</v>
      </c>
      <c r="BB155" s="307">
        <v>32690</v>
      </c>
      <c r="BC155" s="307">
        <v>33460</v>
      </c>
      <c r="BD155" s="307">
        <v>34600</v>
      </c>
      <c r="BE155" s="307">
        <v>35470</v>
      </c>
      <c r="BF155" s="307">
        <v>34730</v>
      </c>
    </row>
    <row r="156" spans="1:58" x14ac:dyDescent="0.2">
      <c r="A156" s="308" t="s">
        <v>58</v>
      </c>
      <c r="B156" s="305"/>
      <c r="C156" s="307">
        <v>25610</v>
      </c>
      <c r="D156" s="307">
        <v>26650</v>
      </c>
      <c r="E156" s="307">
        <v>27270</v>
      </c>
      <c r="F156" s="307">
        <v>28200</v>
      </c>
      <c r="G156" s="307">
        <v>28790</v>
      </c>
      <c r="H156" s="307">
        <v>29350</v>
      </c>
      <c r="I156" s="307">
        <v>30600</v>
      </c>
      <c r="J156" s="307">
        <v>30980</v>
      </c>
      <c r="K156" s="307">
        <v>32430</v>
      </c>
      <c r="L156" s="307">
        <v>32960</v>
      </c>
      <c r="M156" s="307">
        <v>33110</v>
      </c>
      <c r="N156" s="307">
        <v>32170</v>
      </c>
      <c r="O156" s="307">
        <v>31130</v>
      </c>
      <c r="P156" s="307">
        <v>30790</v>
      </c>
      <c r="Q156" s="307">
        <v>30840</v>
      </c>
      <c r="R156" s="307">
        <v>31060</v>
      </c>
      <c r="S156" s="307">
        <v>31510</v>
      </c>
      <c r="T156" s="307">
        <v>31210</v>
      </c>
      <c r="U156" s="307">
        <v>32140</v>
      </c>
      <c r="V156" s="307">
        <v>31570</v>
      </c>
      <c r="W156" s="307">
        <v>30180</v>
      </c>
      <c r="X156" s="307">
        <v>29020</v>
      </c>
      <c r="Y156" s="307">
        <v>27860</v>
      </c>
      <c r="Z156" s="307">
        <v>26610</v>
      </c>
      <c r="AA156" s="307">
        <v>26630</v>
      </c>
      <c r="AB156" s="307">
        <v>26400</v>
      </c>
      <c r="AC156" s="307">
        <v>27430</v>
      </c>
      <c r="AD156" s="307">
        <v>27810</v>
      </c>
      <c r="AE156" s="307">
        <v>28330</v>
      </c>
      <c r="AF156" s="307">
        <v>29160</v>
      </c>
      <c r="AG156" s="307">
        <v>30110</v>
      </c>
      <c r="AH156" s="307">
        <v>30480</v>
      </c>
      <c r="AI156" s="307">
        <v>30920</v>
      </c>
      <c r="AJ156" s="307">
        <v>31460</v>
      </c>
      <c r="AK156" s="307">
        <v>31480</v>
      </c>
      <c r="AL156" s="307">
        <v>32940</v>
      </c>
      <c r="AM156" s="307">
        <v>33850</v>
      </c>
      <c r="AN156" s="307">
        <v>35490</v>
      </c>
      <c r="AO156" s="307">
        <v>35940</v>
      </c>
      <c r="AP156" s="307">
        <v>34970</v>
      </c>
      <c r="AQ156" s="307">
        <v>34940</v>
      </c>
      <c r="AR156" s="307">
        <v>34440</v>
      </c>
      <c r="AS156" s="307">
        <v>34530</v>
      </c>
      <c r="AT156" s="307">
        <v>33960</v>
      </c>
      <c r="AU156" s="307">
        <v>33480</v>
      </c>
      <c r="AV156" s="307">
        <v>33300</v>
      </c>
      <c r="AW156" s="307">
        <v>32700</v>
      </c>
      <c r="AX156" s="307">
        <v>33710</v>
      </c>
      <c r="AY156" s="307">
        <v>32990</v>
      </c>
      <c r="AZ156" s="307">
        <v>32070</v>
      </c>
      <c r="BA156" s="307">
        <v>31930</v>
      </c>
      <c r="BB156" s="307">
        <v>32880</v>
      </c>
      <c r="BC156" s="307">
        <v>32630</v>
      </c>
      <c r="BD156" s="307">
        <v>33400</v>
      </c>
      <c r="BE156" s="307">
        <v>34540</v>
      </c>
      <c r="BF156" s="307">
        <v>35410</v>
      </c>
    </row>
    <row r="157" spans="1:58" x14ac:dyDescent="0.2">
      <c r="A157" s="308" t="s">
        <v>59</v>
      </c>
      <c r="B157" s="305"/>
      <c r="C157" s="307">
        <v>25210</v>
      </c>
      <c r="D157" s="307">
        <v>25480</v>
      </c>
      <c r="E157" s="307">
        <v>26510</v>
      </c>
      <c r="F157" s="307">
        <v>27150</v>
      </c>
      <c r="G157" s="307">
        <v>28130</v>
      </c>
      <c r="H157" s="307">
        <v>28650</v>
      </c>
      <c r="I157" s="307">
        <v>29200</v>
      </c>
      <c r="J157" s="307">
        <v>30460</v>
      </c>
      <c r="K157" s="307">
        <v>30860</v>
      </c>
      <c r="L157" s="307">
        <v>32330</v>
      </c>
      <c r="M157" s="307">
        <v>32860</v>
      </c>
      <c r="N157" s="307">
        <v>33010</v>
      </c>
      <c r="O157" s="307">
        <v>32070</v>
      </c>
      <c r="P157" s="307">
        <v>31040</v>
      </c>
      <c r="Q157" s="307">
        <v>30700</v>
      </c>
      <c r="R157" s="307">
        <v>30760</v>
      </c>
      <c r="S157" s="307">
        <v>30970</v>
      </c>
      <c r="T157" s="307">
        <v>31420</v>
      </c>
      <c r="U157" s="307">
        <v>31130</v>
      </c>
      <c r="V157" s="307">
        <v>32060</v>
      </c>
      <c r="W157" s="307">
        <v>31490</v>
      </c>
      <c r="X157" s="307">
        <v>30100</v>
      </c>
      <c r="Y157" s="307">
        <v>28950</v>
      </c>
      <c r="Z157" s="307">
        <v>27790</v>
      </c>
      <c r="AA157" s="307">
        <v>26550</v>
      </c>
      <c r="AB157" s="307">
        <v>26570</v>
      </c>
      <c r="AC157" s="307">
        <v>26340</v>
      </c>
      <c r="AD157" s="307">
        <v>27360</v>
      </c>
      <c r="AE157" s="307">
        <v>27750</v>
      </c>
      <c r="AF157" s="307">
        <v>28270</v>
      </c>
      <c r="AG157" s="307">
        <v>29090</v>
      </c>
      <c r="AH157" s="307">
        <v>30040</v>
      </c>
      <c r="AI157" s="307">
        <v>30420</v>
      </c>
      <c r="AJ157" s="307">
        <v>30860</v>
      </c>
      <c r="AK157" s="307">
        <v>31400</v>
      </c>
      <c r="AL157" s="307">
        <v>31420</v>
      </c>
      <c r="AM157" s="307">
        <v>32880</v>
      </c>
      <c r="AN157" s="307">
        <v>33790</v>
      </c>
      <c r="AO157" s="307">
        <v>35430</v>
      </c>
      <c r="AP157" s="307">
        <v>35880</v>
      </c>
      <c r="AQ157" s="307">
        <v>34910</v>
      </c>
      <c r="AR157" s="307">
        <v>34880</v>
      </c>
      <c r="AS157" s="307">
        <v>34380</v>
      </c>
      <c r="AT157" s="307">
        <v>34480</v>
      </c>
      <c r="AU157" s="307">
        <v>33900</v>
      </c>
      <c r="AV157" s="307">
        <v>33430</v>
      </c>
      <c r="AW157" s="307">
        <v>33250</v>
      </c>
      <c r="AX157" s="307">
        <v>32650</v>
      </c>
      <c r="AY157" s="307">
        <v>33660</v>
      </c>
      <c r="AZ157" s="307">
        <v>32940</v>
      </c>
      <c r="BA157" s="307">
        <v>32020</v>
      </c>
      <c r="BB157" s="307">
        <v>31880</v>
      </c>
      <c r="BC157" s="307">
        <v>32830</v>
      </c>
      <c r="BD157" s="307">
        <v>32580</v>
      </c>
      <c r="BE157" s="307">
        <v>33350</v>
      </c>
      <c r="BF157" s="307">
        <v>34490</v>
      </c>
    </row>
    <row r="158" spans="1:58" x14ac:dyDescent="0.2">
      <c r="A158" s="308" t="s">
        <v>60</v>
      </c>
      <c r="B158" s="305"/>
      <c r="C158" s="307">
        <v>24770</v>
      </c>
      <c r="D158" s="307">
        <v>25080</v>
      </c>
      <c r="E158" s="307">
        <v>25390</v>
      </c>
      <c r="F158" s="307">
        <v>26410</v>
      </c>
      <c r="G158" s="307">
        <v>27090</v>
      </c>
      <c r="H158" s="307">
        <v>27990</v>
      </c>
      <c r="I158" s="307">
        <v>28520</v>
      </c>
      <c r="J158" s="307">
        <v>29080</v>
      </c>
      <c r="K158" s="307">
        <v>30350</v>
      </c>
      <c r="L158" s="307">
        <v>30770</v>
      </c>
      <c r="M158" s="307">
        <v>32240</v>
      </c>
      <c r="N158" s="307">
        <v>32770</v>
      </c>
      <c r="O158" s="307">
        <v>32930</v>
      </c>
      <c r="P158" s="307">
        <v>31990</v>
      </c>
      <c r="Q158" s="307">
        <v>30960</v>
      </c>
      <c r="R158" s="307">
        <v>30630</v>
      </c>
      <c r="S158" s="307">
        <v>30690</v>
      </c>
      <c r="T158" s="307">
        <v>30900</v>
      </c>
      <c r="U158" s="307">
        <v>31360</v>
      </c>
      <c r="V158" s="307">
        <v>31060</v>
      </c>
      <c r="W158" s="307">
        <v>32000</v>
      </c>
      <c r="X158" s="307">
        <v>31430</v>
      </c>
      <c r="Y158" s="307">
        <v>30040</v>
      </c>
      <c r="Z158" s="307">
        <v>28890</v>
      </c>
      <c r="AA158" s="307">
        <v>27740</v>
      </c>
      <c r="AB158" s="307">
        <v>26500</v>
      </c>
      <c r="AC158" s="307">
        <v>26520</v>
      </c>
      <c r="AD158" s="307">
        <v>26290</v>
      </c>
      <c r="AE158" s="307">
        <v>27320</v>
      </c>
      <c r="AF158" s="307">
        <v>27700</v>
      </c>
      <c r="AG158" s="307">
        <v>28220</v>
      </c>
      <c r="AH158" s="307">
        <v>29050</v>
      </c>
      <c r="AI158" s="307">
        <v>30000</v>
      </c>
      <c r="AJ158" s="307">
        <v>30380</v>
      </c>
      <c r="AK158" s="307">
        <v>30820</v>
      </c>
      <c r="AL158" s="307">
        <v>31350</v>
      </c>
      <c r="AM158" s="307">
        <v>31370</v>
      </c>
      <c r="AN158" s="307">
        <v>32830</v>
      </c>
      <c r="AO158" s="307">
        <v>33750</v>
      </c>
      <c r="AP158" s="307">
        <v>35380</v>
      </c>
      <c r="AQ158" s="307">
        <v>35840</v>
      </c>
      <c r="AR158" s="307">
        <v>34870</v>
      </c>
      <c r="AS158" s="307">
        <v>34840</v>
      </c>
      <c r="AT158" s="307">
        <v>34340</v>
      </c>
      <c r="AU158" s="307">
        <v>34440</v>
      </c>
      <c r="AV158" s="307">
        <v>33870</v>
      </c>
      <c r="AW158" s="307">
        <v>33400</v>
      </c>
      <c r="AX158" s="307">
        <v>33220</v>
      </c>
      <c r="AY158" s="307">
        <v>32620</v>
      </c>
      <c r="AZ158" s="307">
        <v>33620</v>
      </c>
      <c r="BA158" s="307">
        <v>32910</v>
      </c>
      <c r="BB158" s="307">
        <v>31990</v>
      </c>
      <c r="BC158" s="307">
        <v>31850</v>
      </c>
      <c r="BD158" s="307">
        <v>32800</v>
      </c>
      <c r="BE158" s="307">
        <v>32550</v>
      </c>
      <c r="BF158" s="307">
        <v>33320</v>
      </c>
    </row>
    <row r="159" spans="1:58" x14ac:dyDescent="0.2">
      <c r="A159" s="308" t="s">
        <v>61</v>
      </c>
      <c r="B159" s="305"/>
      <c r="C159" s="307">
        <v>24930</v>
      </c>
      <c r="D159" s="307">
        <v>24700</v>
      </c>
      <c r="E159" s="307">
        <v>24950</v>
      </c>
      <c r="F159" s="307">
        <v>25330</v>
      </c>
      <c r="G159" s="307">
        <v>26340</v>
      </c>
      <c r="H159" s="307">
        <v>27010</v>
      </c>
      <c r="I159" s="307">
        <v>27870</v>
      </c>
      <c r="J159" s="307">
        <v>28410</v>
      </c>
      <c r="K159" s="307">
        <v>28990</v>
      </c>
      <c r="L159" s="307">
        <v>30280</v>
      </c>
      <c r="M159" s="307">
        <v>30700</v>
      </c>
      <c r="N159" s="307">
        <v>32160</v>
      </c>
      <c r="O159" s="307">
        <v>32700</v>
      </c>
      <c r="P159" s="307">
        <v>32860</v>
      </c>
      <c r="Q159" s="307">
        <v>31930</v>
      </c>
      <c r="R159" s="307">
        <v>30900</v>
      </c>
      <c r="S159" s="307">
        <v>30570</v>
      </c>
      <c r="T159" s="307">
        <v>30630</v>
      </c>
      <c r="U159" s="307">
        <v>30850</v>
      </c>
      <c r="V159" s="307">
        <v>31300</v>
      </c>
      <c r="W159" s="307">
        <v>31010</v>
      </c>
      <c r="X159" s="307">
        <v>31940</v>
      </c>
      <c r="Y159" s="307">
        <v>31380</v>
      </c>
      <c r="Z159" s="307">
        <v>30000</v>
      </c>
      <c r="AA159" s="307">
        <v>28850</v>
      </c>
      <c r="AB159" s="307">
        <v>27700</v>
      </c>
      <c r="AC159" s="307">
        <v>26470</v>
      </c>
      <c r="AD159" s="307">
        <v>26490</v>
      </c>
      <c r="AE159" s="307">
        <v>26260</v>
      </c>
      <c r="AF159" s="307">
        <v>27290</v>
      </c>
      <c r="AG159" s="307">
        <v>27670</v>
      </c>
      <c r="AH159" s="307">
        <v>28190</v>
      </c>
      <c r="AI159" s="307">
        <v>29020</v>
      </c>
      <c r="AJ159" s="307">
        <v>29970</v>
      </c>
      <c r="AK159" s="307">
        <v>30350</v>
      </c>
      <c r="AL159" s="307">
        <v>30790</v>
      </c>
      <c r="AM159" s="307">
        <v>31320</v>
      </c>
      <c r="AN159" s="307">
        <v>31350</v>
      </c>
      <c r="AO159" s="307">
        <v>32800</v>
      </c>
      <c r="AP159" s="307">
        <v>33720</v>
      </c>
      <c r="AQ159" s="307">
        <v>35360</v>
      </c>
      <c r="AR159" s="307">
        <v>35810</v>
      </c>
      <c r="AS159" s="307">
        <v>34840</v>
      </c>
      <c r="AT159" s="307">
        <v>34820</v>
      </c>
      <c r="AU159" s="307">
        <v>34320</v>
      </c>
      <c r="AV159" s="307">
        <v>34420</v>
      </c>
      <c r="AW159" s="307">
        <v>33850</v>
      </c>
      <c r="AX159" s="307">
        <v>33380</v>
      </c>
      <c r="AY159" s="307">
        <v>33200</v>
      </c>
      <c r="AZ159" s="307">
        <v>32600</v>
      </c>
      <c r="BA159" s="307">
        <v>33610</v>
      </c>
      <c r="BB159" s="307">
        <v>32890</v>
      </c>
      <c r="BC159" s="307">
        <v>31980</v>
      </c>
      <c r="BD159" s="307">
        <v>31840</v>
      </c>
      <c r="BE159" s="307">
        <v>32790</v>
      </c>
      <c r="BF159" s="307">
        <v>32540</v>
      </c>
    </row>
    <row r="160" spans="1:58" x14ac:dyDescent="0.2">
      <c r="A160" s="308" t="s">
        <v>62</v>
      </c>
      <c r="B160" s="305"/>
      <c r="C160" s="307">
        <v>24090</v>
      </c>
      <c r="D160" s="307">
        <v>24820</v>
      </c>
      <c r="E160" s="307">
        <v>24600</v>
      </c>
      <c r="F160" s="307">
        <v>24850</v>
      </c>
      <c r="G160" s="307">
        <v>25290</v>
      </c>
      <c r="H160" s="307">
        <v>26260</v>
      </c>
      <c r="I160" s="307">
        <v>26900</v>
      </c>
      <c r="J160" s="307">
        <v>27770</v>
      </c>
      <c r="K160" s="307">
        <v>28330</v>
      </c>
      <c r="L160" s="307">
        <v>28920</v>
      </c>
      <c r="M160" s="307">
        <v>30210</v>
      </c>
      <c r="N160" s="307">
        <v>30630</v>
      </c>
      <c r="O160" s="307">
        <v>32100</v>
      </c>
      <c r="P160" s="307">
        <v>32630</v>
      </c>
      <c r="Q160" s="307">
        <v>32800</v>
      </c>
      <c r="R160" s="307">
        <v>31870</v>
      </c>
      <c r="S160" s="307">
        <v>30850</v>
      </c>
      <c r="T160" s="307">
        <v>30520</v>
      </c>
      <c r="U160" s="307">
        <v>30580</v>
      </c>
      <c r="V160" s="307">
        <v>30800</v>
      </c>
      <c r="W160" s="307">
        <v>31260</v>
      </c>
      <c r="X160" s="307">
        <v>30970</v>
      </c>
      <c r="Y160" s="307">
        <v>31900</v>
      </c>
      <c r="Z160" s="307">
        <v>31340</v>
      </c>
      <c r="AA160" s="307">
        <v>29960</v>
      </c>
      <c r="AB160" s="307">
        <v>28820</v>
      </c>
      <c r="AC160" s="307">
        <v>27680</v>
      </c>
      <c r="AD160" s="307">
        <v>26450</v>
      </c>
      <c r="AE160" s="307">
        <v>26470</v>
      </c>
      <c r="AF160" s="307">
        <v>26240</v>
      </c>
      <c r="AG160" s="307">
        <v>27270</v>
      </c>
      <c r="AH160" s="307">
        <v>27650</v>
      </c>
      <c r="AI160" s="307">
        <v>28170</v>
      </c>
      <c r="AJ160" s="307">
        <v>29000</v>
      </c>
      <c r="AK160" s="307">
        <v>29950</v>
      </c>
      <c r="AL160" s="307">
        <v>30330</v>
      </c>
      <c r="AM160" s="307">
        <v>30770</v>
      </c>
      <c r="AN160" s="307">
        <v>31310</v>
      </c>
      <c r="AO160" s="307">
        <v>31330</v>
      </c>
      <c r="AP160" s="307">
        <v>32790</v>
      </c>
      <c r="AQ160" s="307">
        <v>33700</v>
      </c>
      <c r="AR160" s="307">
        <v>35340</v>
      </c>
      <c r="AS160" s="307">
        <v>35800</v>
      </c>
      <c r="AT160" s="307">
        <v>34830</v>
      </c>
      <c r="AU160" s="307">
        <v>34800</v>
      </c>
      <c r="AV160" s="307">
        <v>34310</v>
      </c>
      <c r="AW160" s="307">
        <v>34410</v>
      </c>
      <c r="AX160" s="307">
        <v>33840</v>
      </c>
      <c r="AY160" s="307">
        <v>33370</v>
      </c>
      <c r="AZ160" s="307">
        <v>33200</v>
      </c>
      <c r="BA160" s="307">
        <v>32600</v>
      </c>
      <c r="BB160" s="307">
        <v>33600</v>
      </c>
      <c r="BC160" s="307">
        <v>32890</v>
      </c>
      <c r="BD160" s="307">
        <v>31980</v>
      </c>
      <c r="BE160" s="307">
        <v>31840</v>
      </c>
      <c r="BF160" s="307">
        <v>32790</v>
      </c>
    </row>
    <row r="161" spans="1:58" x14ac:dyDescent="0.2">
      <c r="A161" s="308" t="s">
        <v>63</v>
      </c>
      <c r="B161" s="305"/>
      <c r="C161" s="307">
        <v>24480</v>
      </c>
      <c r="D161" s="307">
        <v>24010</v>
      </c>
      <c r="E161" s="307">
        <v>24700</v>
      </c>
      <c r="F161" s="307">
        <v>24480</v>
      </c>
      <c r="G161" s="307">
        <v>24800</v>
      </c>
      <c r="H161" s="307">
        <v>25210</v>
      </c>
      <c r="I161" s="307">
        <v>26160</v>
      </c>
      <c r="J161" s="307">
        <v>26810</v>
      </c>
      <c r="K161" s="307">
        <v>27700</v>
      </c>
      <c r="L161" s="307">
        <v>28270</v>
      </c>
      <c r="M161" s="307">
        <v>28860</v>
      </c>
      <c r="N161" s="307">
        <v>30150</v>
      </c>
      <c r="O161" s="307">
        <v>30580</v>
      </c>
      <c r="P161" s="307">
        <v>32040</v>
      </c>
      <c r="Q161" s="307">
        <v>32580</v>
      </c>
      <c r="R161" s="307">
        <v>32740</v>
      </c>
      <c r="S161" s="307">
        <v>31820</v>
      </c>
      <c r="T161" s="307">
        <v>30800</v>
      </c>
      <c r="U161" s="307">
        <v>30480</v>
      </c>
      <c r="V161" s="307">
        <v>30540</v>
      </c>
      <c r="W161" s="307">
        <v>30760</v>
      </c>
      <c r="X161" s="307">
        <v>31220</v>
      </c>
      <c r="Y161" s="307">
        <v>30930</v>
      </c>
      <c r="Z161" s="307">
        <v>31870</v>
      </c>
      <c r="AA161" s="307">
        <v>31310</v>
      </c>
      <c r="AB161" s="307">
        <v>29940</v>
      </c>
      <c r="AC161" s="307">
        <v>28800</v>
      </c>
      <c r="AD161" s="307">
        <v>27660</v>
      </c>
      <c r="AE161" s="307">
        <v>26430</v>
      </c>
      <c r="AF161" s="307">
        <v>26460</v>
      </c>
      <c r="AG161" s="307">
        <v>26230</v>
      </c>
      <c r="AH161" s="307">
        <v>27260</v>
      </c>
      <c r="AI161" s="307">
        <v>27640</v>
      </c>
      <c r="AJ161" s="307">
        <v>28160</v>
      </c>
      <c r="AK161" s="307">
        <v>28990</v>
      </c>
      <c r="AL161" s="307">
        <v>29940</v>
      </c>
      <c r="AM161" s="307">
        <v>30320</v>
      </c>
      <c r="AN161" s="307">
        <v>30760</v>
      </c>
      <c r="AO161" s="307">
        <v>31300</v>
      </c>
      <c r="AP161" s="307">
        <v>31320</v>
      </c>
      <c r="AQ161" s="307">
        <v>32780</v>
      </c>
      <c r="AR161" s="307">
        <v>33700</v>
      </c>
      <c r="AS161" s="307">
        <v>35330</v>
      </c>
      <c r="AT161" s="307">
        <v>35790</v>
      </c>
      <c r="AU161" s="307">
        <v>34830</v>
      </c>
      <c r="AV161" s="307">
        <v>34800</v>
      </c>
      <c r="AW161" s="307">
        <v>34310</v>
      </c>
      <c r="AX161" s="307">
        <v>34410</v>
      </c>
      <c r="AY161" s="307">
        <v>33840</v>
      </c>
      <c r="AZ161" s="307">
        <v>33370</v>
      </c>
      <c r="BA161" s="307">
        <v>33200</v>
      </c>
      <c r="BB161" s="307">
        <v>32600</v>
      </c>
      <c r="BC161" s="307">
        <v>33610</v>
      </c>
      <c r="BD161" s="307">
        <v>32900</v>
      </c>
      <c r="BE161" s="307">
        <v>31990</v>
      </c>
      <c r="BF161" s="307">
        <v>31850</v>
      </c>
    </row>
    <row r="162" spans="1:58" x14ac:dyDescent="0.2">
      <c r="A162" s="308" t="s">
        <v>64</v>
      </c>
      <c r="B162" s="305"/>
      <c r="C162" s="307">
        <v>24660</v>
      </c>
      <c r="D162" s="307">
        <v>24420</v>
      </c>
      <c r="E162" s="307">
        <v>23890</v>
      </c>
      <c r="F162" s="307">
        <v>24610</v>
      </c>
      <c r="G162" s="307">
        <v>24390</v>
      </c>
      <c r="H162" s="307">
        <v>24740</v>
      </c>
      <c r="I162" s="307">
        <v>25110</v>
      </c>
      <c r="J162" s="307">
        <v>26070</v>
      </c>
      <c r="K162" s="307">
        <v>26740</v>
      </c>
      <c r="L162" s="307">
        <v>27640</v>
      </c>
      <c r="M162" s="307">
        <v>28220</v>
      </c>
      <c r="N162" s="307">
        <v>28810</v>
      </c>
      <c r="O162" s="307">
        <v>30100</v>
      </c>
      <c r="P162" s="307">
        <v>30520</v>
      </c>
      <c r="Q162" s="307">
        <v>31980</v>
      </c>
      <c r="R162" s="307">
        <v>32520</v>
      </c>
      <c r="S162" s="307">
        <v>32690</v>
      </c>
      <c r="T162" s="307">
        <v>31770</v>
      </c>
      <c r="U162" s="307">
        <v>30760</v>
      </c>
      <c r="V162" s="307">
        <v>30440</v>
      </c>
      <c r="W162" s="307">
        <v>30510</v>
      </c>
      <c r="X162" s="307">
        <v>30730</v>
      </c>
      <c r="Y162" s="307">
        <v>31190</v>
      </c>
      <c r="Z162" s="307">
        <v>30900</v>
      </c>
      <c r="AA162" s="307">
        <v>31840</v>
      </c>
      <c r="AB162" s="307">
        <v>31280</v>
      </c>
      <c r="AC162" s="307">
        <v>29920</v>
      </c>
      <c r="AD162" s="307">
        <v>28790</v>
      </c>
      <c r="AE162" s="307">
        <v>27650</v>
      </c>
      <c r="AF162" s="307">
        <v>26430</v>
      </c>
      <c r="AG162" s="307">
        <v>26450</v>
      </c>
      <c r="AH162" s="307">
        <v>26230</v>
      </c>
      <c r="AI162" s="307">
        <v>27250</v>
      </c>
      <c r="AJ162" s="307">
        <v>27640</v>
      </c>
      <c r="AK162" s="307">
        <v>28160</v>
      </c>
      <c r="AL162" s="307">
        <v>28990</v>
      </c>
      <c r="AM162" s="307">
        <v>29940</v>
      </c>
      <c r="AN162" s="307">
        <v>30320</v>
      </c>
      <c r="AO162" s="307">
        <v>30760</v>
      </c>
      <c r="AP162" s="307">
        <v>31300</v>
      </c>
      <c r="AQ162" s="307">
        <v>31320</v>
      </c>
      <c r="AR162" s="307">
        <v>32780</v>
      </c>
      <c r="AS162" s="307">
        <v>33700</v>
      </c>
      <c r="AT162" s="307">
        <v>35330</v>
      </c>
      <c r="AU162" s="307">
        <v>35790</v>
      </c>
      <c r="AV162" s="307">
        <v>34830</v>
      </c>
      <c r="AW162" s="307">
        <v>34800</v>
      </c>
      <c r="AX162" s="307">
        <v>34310</v>
      </c>
      <c r="AY162" s="307">
        <v>34420</v>
      </c>
      <c r="AZ162" s="307">
        <v>33850</v>
      </c>
      <c r="BA162" s="307">
        <v>33380</v>
      </c>
      <c r="BB162" s="307">
        <v>33210</v>
      </c>
      <c r="BC162" s="307">
        <v>32620</v>
      </c>
      <c r="BD162" s="307">
        <v>33620</v>
      </c>
      <c r="BE162" s="307">
        <v>32910</v>
      </c>
      <c r="BF162" s="307">
        <v>32010</v>
      </c>
    </row>
    <row r="163" spans="1:58" x14ac:dyDescent="0.2">
      <c r="A163" s="308" t="s">
        <v>65</v>
      </c>
      <c r="B163" s="305"/>
      <c r="C163" s="307">
        <v>20800</v>
      </c>
      <c r="D163" s="307">
        <v>24590</v>
      </c>
      <c r="E163" s="307">
        <v>24360</v>
      </c>
      <c r="F163" s="307">
        <v>23780</v>
      </c>
      <c r="G163" s="307">
        <v>24510</v>
      </c>
      <c r="H163" s="307">
        <v>24360</v>
      </c>
      <c r="I163" s="307">
        <v>24650</v>
      </c>
      <c r="J163" s="307">
        <v>25030</v>
      </c>
      <c r="K163" s="307">
        <v>26010</v>
      </c>
      <c r="L163" s="307">
        <v>26690</v>
      </c>
      <c r="M163" s="307">
        <v>27590</v>
      </c>
      <c r="N163" s="307">
        <v>28170</v>
      </c>
      <c r="O163" s="307">
        <v>28760</v>
      </c>
      <c r="P163" s="307">
        <v>30050</v>
      </c>
      <c r="Q163" s="307">
        <v>30480</v>
      </c>
      <c r="R163" s="307">
        <v>31930</v>
      </c>
      <c r="S163" s="307">
        <v>32470</v>
      </c>
      <c r="T163" s="307">
        <v>32650</v>
      </c>
      <c r="U163" s="307">
        <v>31730</v>
      </c>
      <c r="V163" s="307">
        <v>30730</v>
      </c>
      <c r="W163" s="307">
        <v>30420</v>
      </c>
      <c r="X163" s="307">
        <v>30480</v>
      </c>
      <c r="Y163" s="307">
        <v>30710</v>
      </c>
      <c r="Z163" s="307">
        <v>31170</v>
      </c>
      <c r="AA163" s="307">
        <v>30880</v>
      </c>
      <c r="AB163" s="307">
        <v>31820</v>
      </c>
      <c r="AC163" s="307">
        <v>31270</v>
      </c>
      <c r="AD163" s="307">
        <v>29910</v>
      </c>
      <c r="AE163" s="307">
        <v>28780</v>
      </c>
      <c r="AF163" s="307">
        <v>27650</v>
      </c>
      <c r="AG163" s="307">
        <v>26430</v>
      </c>
      <c r="AH163" s="307">
        <v>26450</v>
      </c>
      <c r="AI163" s="307">
        <v>26230</v>
      </c>
      <c r="AJ163" s="307">
        <v>27260</v>
      </c>
      <c r="AK163" s="307">
        <v>27650</v>
      </c>
      <c r="AL163" s="307">
        <v>28170</v>
      </c>
      <c r="AM163" s="307">
        <v>29000</v>
      </c>
      <c r="AN163" s="307">
        <v>29940</v>
      </c>
      <c r="AO163" s="307">
        <v>30330</v>
      </c>
      <c r="AP163" s="307">
        <v>30770</v>
      </c>
      <c r="AQ163" s="307">
        <v>31310</v>
      </c>
      <c r="AR163" s="307">
        <v>31340</v>
      </c>
      <c r="AS163" s="307">
        <v>32790</v>
      </c>
      <c r="AT163" s="307">
        <v>33710</v>
      </c>
      <c r="AU163" s="307">
        <v>35340</v>
      </c>
      <c r="AV163" s="307">
        <v>35800</v>
      </c>
      <c r="AW163" s="307">
        <v>34840</v>
      </c>
      <c r="AX163" s="307">
        <v>34820</v>
      </c>
      <c r="AY163" s="307">
        <v>34330</v>
      </c>
      <c r="AZ163" s="307">
        <v>34430</v>
      </c>
      <c r="BA163" s="307">
        <v>33870</v>
      </c>
      <c r="BB163" s="307">
        <v>33400</v>
      </c>
      <c r="BC163" s="307">
        <v>33230</v>
      </c>
      <c r="BD163" s="307">
        <v>32640</v>
      </c>
      <c r="BE163" s="307">
        <v>33640</v>
      </c>
      <c r="BF163" s="307">
        <v>32940</v>
      </c>
    </row>
    <row r="164" spans="1:58" x14ac:dyDescent="0.2">
      <c r="A164" s="308" t="s">
        <v>66</v>
      </c>
      <c r="B164" s="305"/>
      <c r="C164" s="307">
        <v>19700</v>
      </c>
      <c r="D164" s="307">
        <v>20730</v>
      </c>
      <c r="E164" s="307">
        <v>24500</v>
      </c>
      <c r="F164" s="307">
        <v>24280</v>
      </c>
      <c r="G164" s="307">
        <v>23700</v>
      </c>
      <c r="H164" s="307">
        <v>24450</v>
      </c>
      <c r="I164" s="307">
        <v>24280</v>
      </c>
      <c r="J164" s="307">
        <v>24580</v>
      </c>
      <c r="K164" s="307">
        <v>24980</v>
      </c>
      <c r="L164" s="307">
        <v>25970</v>
      </c>
      <c r="M164" s="307">
        <v>26650</v>
      </c>
      <c r="N164" s="307">
        <v>27550</v>
      </c>
      <c r="O164" s="307">
        <v>28130</v>
      </c>
      <c r="P164" s="307">
        <v>28720</v>
      </c>
      <c r="Q164" s="307">
        <v>30010</v>
      </c>
      <c r="R164" s="307">
        <v>30440</v>
      </c>
      <c r="S164" s="307">
        <v>31890</v>
      </c>
      <c r="T164" s="307">
        <v>32430</v>
      </c>
      <c r="U164" s="307">
        <v>32610</v>
      </c>
      <c r="V164" s="307">
        <v>31700</v>
      </c>
      <c r="W164" s="307">
        <v>30710</v>
      </c>
      <c r="X164" s="307">
        <v>30390</v>
      </c>
      <c r="Y164" s="307">
        <v>30460</v>
      </c>
      <c r="Z164" s="307">
        <v>30690</v>
      </c>
      <c r="AA164" s="307">
        <v>31150</v>
      </c>
      <c r="AB164" s="307">
        <v>30870</v>
      </c>
      <c r="AC164" s="307">
        <v>31810</v>
      </c>
      <c r="AD164" s="307">
        <v>31260</v>
      </c>
      <c r="AE164" s="307">
        <v>29900</v>
      </c>
      <c r="AF164" s="307">
        <v>28780</v>
      </c>
      <c r="AG164" s="307">
        <v>27650</v>
      </c>
      <c r="AH164" s="307">
        <v>26440</v>
      </c>
      <c r="AI164" s="307">
        <v>26470</v>
      </c>
      <c r="AJ164" s="307">
        <v>26250</v>
      </c>
      <c r="AK164" s="307">
        <v>27270</v>
      </c>
      <c r="AL164" s="307">
        <v>27660</v>
      </c>
      <c r="AM164" s="307">
        <v>28190</v>
      </c>
      <c r="AN164" s="307">
        <v>29010</v>
      </c>
      <c r="AO164" s="307">
        <v>29960</v>
      </c>
      <c r="AP164" s="307">
        <v>30340</v>
      </c>
      <c r="AQ164" s="307">
        <v>30790</v>
      </c>
      <c r="AR164" s="307">
        <v>31330</v>
      </c>
      <c r="AS164" s="307">
        <v>31360</v>
      </c>
      <c r="AT164" s="307">
        <v>32810</v>
      </c>
      <c r="AU164" s="307">
        <v>33730</v>
      </c>
      <c r="AV164" s="307">
        <v>35360</v>
      </c>
      <c r="AW164" s="307">
        <v>35820</v>
      </c>
      <c r="AX164" s="307">
        <v>34860</v>
      </c>
      <c r="AY164" s="307">
        <v>34840</v>
      </c>
      <c r="AZ164" s="307">
        <v>34360</v>
      </c>
      <c r="BA164" s="307">
        <v>34460</v>
      </c>
      <c r="BB164" s="307">
        <v>33900</v>
      </c>
      <c r="BC164" s="307">
        <v>33430</v>
      </c>
      <c r="BD164" s="307">
        <v>33260</v>
      </c>
      <c r="BE164" s="307">
        <v>32670</v>
      </c>
      <c r="BF164" s="307">
        <v>33680</v>
      </c>
    </row>
    <row r="165" spans="1:58" x14ac:dyDescent="0.2">
      <c r="A165" s="308" t="s">
        <v>67</v>
      </c>
      <c r="B165" s="305"/>
      <c r="C165" s="307">
        <v>18680</v>
      </c>
      <c r="D165" s="307">
        <v>19610</v>
      </c>
      <c r="E165" s="307">
        <v>20650</v>
      </c>
      <c r="F165" s="307">
        <v>24400</v>
      </c>
      <c r="G165" s="307">
        <v>24210</v>
      </c>
      <c r="H165" s="307">
        <v>23630</v>
      </c>
      <c r="I165" s="307">
        <v>24370</v>
      </c>
      <c r="J165" s="307">
        <v>24210</v>
      </c>
      <c r="K165" s="307">
        <v>24520</v>
      </c>
      <c r="L165" s="307">
        <v>24940</v>
      </c>
      <c r="M165" s="307">
        <v>25920</v>
      </c>
      <c r="N165" s="307">
        <v>26600</v>
      </c>
      <c r="O165" s="307">
        <v>27510</v>
      </c>
      <c r="P165" s="307">
        <v>28090</v>
      </c>
      <c r="Q165" s="307">
        <v>28680</v>
      </c>
      <c r="R165" s="307">
        <v>29970</v>
      </c>
      <c r="S165" s="307">
        <v>30400</v>
      </c>
      <c r="T165" s="307">
        <v>31850</v>
      </c>
      <c r="U165" s="307">
        <v>32390</v>
      </c>
      <c r="V165" s="307">
        <v>32570</v>
      </c>
      <c r="W165" s="307">
        <v>31670</v>
      </c>
      <c r="X165" s="307">
        <v>30680</v>
      </c>
      <c r="Y165" s="307">
        <v>30370</v>
      </c>
      <c r="Z165" s="307">
        <v>30450</v>
      </c>
      <c r="AA165" s="307">
        <v>30680</v>
      </c>
      <c r="AB165" s="307">
        <v>31140</v>
      </c>
      <c r="AC165" s="307">
        <v>30860</v>
      </c>
      <c r="AD165" s="307">
        <v>31800</v>
      </c>
      <c r="AE165" s="307">
        <v>31250</v>
      </c>
      <c r="AF165" s="307">
        <v>29900</v>
      </c>
      <c r="AG165" s="307">
        <v>28790</v>
      </c>
      <c r="AH165" s="307">
        <v>27660</v>
      </c>
      <c r="AI165" s="307">
        <v>26450</v>
      </c>
      <c r="AJ165" s="307">
        <v>26490</v>
      </c>
      <c r="AK165" s="307">
        <v>26270</v>
      </c>
      <c r="AL165" s="307">
        <v>27290</v>
      </c>
      <c r="AM165" s="307">
        <v>27680</v>
      </c>
      <c r="AN165" s="307">
        <v>28210</v>
      </c>
      <c r="AO165" s="307">
        <v>29030</v>
      </c>
      <c r="AP165" s="307">
        <v>29980</v>
      </c>
      <c r="AQ165" s="307">
        <v>30370</v>
      </c>
      <c r="AR165" s="307">
        <v>30810</v>
      </c>
      <c r="AS165" s="307">
        <v>31350</v>
      </c>
      <c r="AT165" s="307">
        <v>31380</v>
      </c>
      <c r="AU165" s="307">
        <v>32830</v>
      </c>
      <c r="AV165" s="307">
        <v>33750</v>
      </c>
      <c r="AW165" s="307">
        <v>35380</v>
      </c>
      <c r="AX165" s="307">
        <v>35840</v>
      </c>
      <c r="AY165" s="307">
        <v>34890</v>
      </c>
      <c r="AZ165" s="307">
        <v>34870</v>
      </c>
      <c r="BA165" s="307">
        <v>34390</v>
      </c>
      <c r="BB165" s="307">
        <v>34490</v>
      </c>
      <c r="BC165" s="307">
        <v>33930</v>
      </c>
      <c r="BD165" s="307">
        <v>33470</v>
      </c>
      <c r="BE165" s="307">
        <v>33300</v>
      </c>
      <c r="BF165" s="307">
        <v>32710</v>
      </c>
    </row>
    <row r="166" spans="1:58" x14ac:dyDescent="0.2">
      <c r="A166" s="308" t="s">
        <v>68</v>
      </c>
      <c r="B166" s="305"/>
      <c r="C166" s="307">
        <v>16840</v>
      </c>
      <c r="D166" s="307">
        <v>18590</v>
      </c>
      <c r="E166" s="307">
        <v>19520</v>
      </c>
      <c r="F166" s="307">
        <v>20560</v>
      </c>
      <c r="G166" s="307">
        <v>24310</v>
      </c>
      <c r="H166" s="307">
        <v>24120</v>
      </c>
      <c r="I166" s="307">
        <v>23550</v>
      </c>
      <c r="J166" s="307">
        <v>24290</v>
      </c>
      <c r="K166" s="307">
        <v>24150</v>
      </c>
      <c r="L166" s="307">
        <v>24480</v>
      </c>
      <c r="M166" s="307">
        <v>24900</v>
      </c>
      <c r="N166" s="307">
        <v>25880</v>
      </c>
      <c r="O166" s="307">
        <v>26560</v>
      </c>
      <c r="P166" s="307">
        <v>27460</v>
      </c>
      <c r="Q166" s="307">
        <v>28040</v>
      </c>
      <c r="R166" s="307">
        <v>28640</v>
      </c>
      <c r="S166" s="307">
        <v>29920</v>
      </c>
      <c r="T166" s="307">
        <v>30360</v>
      </c>
      <c r="U166" s="307">
        <v>31810</v>
      </c>
      <c r="V166" s="307">
        <v>32350</v>
      </c>
      <c r="W166" s="307">
        <v>32530</v>
      </c>
      <c r="X166" s="307">
        <v>31640</v>
      </c>
      <c r="Y166" s="307">
        <v>30660</v>
      </c>
      <c r="Z166" s="307">
        <v>30360</v>
      </c>
      <c r="AA166" s="307">
        <v>30430</v>
      </c>
      <c r="AB166" s="307">
        <v>30660</v>
      </c>
      <c r="AC166" s="307">
        <v>31120</v>
      </c>
      <c r="AD166" s="307">
        <v>30850</v>
      </c>
      <c r="AE166" s="307">
        <v>31790</v>
      </c>
      <c r="AF166" s="307">
        <v>31250</v>
      </c>
      <c r="AG166" s="307">
        <v>29910</v>
      </c>
      <c r="AH166" s="307">
        <v>28800</v>
      </c>
      <c r="AI166" s="307">
        <v>27680</v>
      </c>
      <c r="AJ166" s="307">
        <v>26470</v>
      </c>
      <c r="AK166" s="307">
        <v>26500</v>
      </c>
      <c r="AL166" s="307">
        <v>26290</v>
      </c>
      <c r="AM166" s="307">
        <v>27310</v>
      </c>
      <c r="AN166" s="307">
        <v>27700</v>
      </c>
      <c r="AO166" s="307">
        <v>28230</v>
      </c>
      <c r="AP166" s="307">
        <v>29060</v>
      </c>
      <c r="AQ166" s="307">
        <v>30000</v>
      </c>
      <c r="AR166" s="307">
        <v>30390</v>
      </c>
      <c r="AS166" s="307">
        <v>30840</v>
      </c>
      <c r="AT166" s="307">
        <v>31380</v>
      </c>
      <c r="AU166" s="307">
        <v>31410</v>
      </c>
      <c r="AV166" s="307">
        <v>32860</v>
      </c>
      <c r="AW166" s="307">
        <v>33780</v>
      </c>
      <c r="AX166" s="307">
        <v>35410</v>
      </c>
      <c r="AY166" s="307">
        <v>35870</v>
      </c>
      <c r="AZ166" s="307">
        <v>34920</v>
      </c>
      <c r="BA166" s="307">
        <v>34900</v>
      </c>
      <c r="BB166" s="307">
        <v>34420</v>
      </c>
      <c r="BC166" s="307">
        <v>34530</v>
      </c>
      <c r="BD166" s="307">
        <v>33970</v>
      </c>
      <c r="BE166" s="307">
        <v>33510</v>
      </c>
      <c r="BF166" s="307">
        <v>33340</v>
      </c>
    </row>
    <row r="167" spans="1:58" x14ac:dyDescent="0.2">
      <c r="A167" s="308" t="s">
        <v>69</v>
      </c>
      <c r="B167" s="305"/>
      <c r="C167" s="307">
        <v>18730</v>
      </c>
      <c r="D167" s="307">
        <v>16770</v>
      </c>
      <c r="E167" s="307">
        <v>18510</v>
      </c>
      <c r="F167" s="307">
        <v>19460</v>
      </c>
      <c r="G167" s="307">
        <v>20490</v>
      </c>
      <c r="H167" s="307">
        <v>24220</v>
      </c>
      <c r="I167" s="307">
        <v>24030</v>
      </c>
      <c r="J167" s="307">
        <v>23470</v>
      </c>
      <c r="K167" s="307">
        <v>24230</v>
      </c>
      <c r="L167" s="307">
        <v>24100</v>
      </c>
      <c r="M167" s="307">
        <v>24430</v>
      </c>
      <c r="N167" s="307">
        <v>24850</v>
      </c>
      <c r="O167" s="307">
        <v>25840</v>
      </c>
      <c r="P167" s="307">
        <v>26520</v>
      </c>
      <c r="Q167" s="307">
        <v>27420</v>
      </c>
      <c r="R167" s="307">
        <v>28000</v>
      </c>
      <c r="S167" s="307">
        <v>28600</v>
      </c>
      <c r="T167" s="307">
        <v>29880</v>
      </c>
      <c r="U167" s="307">
        <v>30310</v>
      </c>
      <c r="V167" s="307">
        <v>31760</v>
      </c>
      <c r="W167" s="307">
        <v>32310</v>
      </c>
      <c r="X167" s="307">
        <v>32490</v>
      </c>
      <c r="Y167" s="307">
        <v>31610</v>
      </c>
      <c r="Z167" s="307">
        <v>30630</v>
      </c>
      <c r="AA167" s="307">
        <v>30330</v>
      </c>
      <c r="AB167" s="307">
        <v>30410</v>
      </c>
      <c r="AC167" s="307">
        <v>30650</v>
      </c>
      <c r="AD167" s="307">
        <v>31110</v>
      </c>
      <c r="AE167" s="307">
        <v>30840</v>
      </c>
      <c r="AF167" s="307">
        <v>31780</v>
      </c>
      <c r="AG167" s="307">
        <v>31240</v>
      </c>
      <c r="AH167" s="307">
        <v>29910</v>
      </c>
      <c r="AI167" s="307">
        <v>28800</v>
      </c>
      <c r="AJ167" s="307">
        <v>27690</v>
      </c>
      <c r="AK167" s="307">
        <v>26490</v>
      </c>
      <c r="AL167" s="307">
        <v>26530</v>
      </c>
      <c r="AM167" s="307">
        <v>26320</v>
      </c>
      <c r="AN167" s="307">
        <v>27340</v>
      </c>
      <c r="AO167" s="307">
        <v>27730</v>
      </c>
      <c r="AP167" s="307">
        <v>28250</v>
      </c>
      <c r="AQ167" s="307">
        <v>29080</v>
      </c>
      <c r="AR167" s="307">
        <v>30030</v>
      </c>
      <c r="AS167" s="307">
        <v>30420</v>
      </c>
      <c r="AT167" s="307">
        <v>30860</v>
      </c>
      <c r="AU167" s="307">
        <v>31400</v>
      </c>
      <c r="AV167" s="307">
        <v>31440</v>
      </c>
      <c r="AW167" s="307">
        <v>32890</v>
      </c>
      <c r="AX167" s="307">
        <v>33810</v>
      </c>
      <c r="AY167" s="307">
        <v>35430</v>
      </c>
      <c r="AZ167" s="307">
        <v>35900</v>
      </c>
      <c r="BA167" s="307">
        <v>34950</v>
      </c>
      <c r="BB167" s="307">
        <v>34940</v>
      </c>
      <c r="BC167" s="307">
        <v>34460</v>
      </c>
      <c r="BD167" s="307">
        <v>34560</v>
      </c>
      <c r="BE167" s="307">
        <v>34010</v>
      </c>
      <c r="BF167" s="307">
        <v>33550</v>
      </c>
    </row>
    <row r="168" spans="1:58" x14ac:dyDescent="0.2">
      <c r="A168" s="308" t="s">
        <v>70</v>
      </c>
      <c r="B168" s="305"/>
      <c r="C168" s="307">
        <v>18400</v>
      </c>
      <c r="D168" s="307">
        <v>18650</v>
      </c>
      <c r="E168" s="307">
        <v>16680</v>
      </c>
      <c r="F168" s="307">
        <v>18410</v>
      </c>
      <c r="G168" s="307">
        <v>19380</v>
      </c>
      <c r="H168" s="307">
        <v>20400</v>
      </c>
      <c r="I168" s="307">
        <v>24110</v>
      </c>
      <c r="J168" s="307">
        <v>23940</v>
      </c>
      <c r="K168" s="307">
        <v>23400</v>
      </c>
      <c r="L168" s="307">
        <v>24160</v>
      </c>
      <c r="M168" s="307">
        <v>24040</v>
      </c>
      <c r="N168" s="307">
        <v>24370</v>
      </c>
      <c r="O168" s="307">
        <v>24790</v>
      </c>
      <c r="P168" s="307">
        <v>25780</v>
      </c>
      <c r="Q168" s="307">
        <v>26460</v>
      </c>
      <c r="R168" s="307">
        <v>27360</v>
      </c>
      <c r="S168" s="307">
        <v>27940</v>
      </c>
      <c r="T168" s="307">
        <v>28540</v>
      </c>
      <c r="U168" s="307">
        <v>29820</v>
      </c>
      <c r="V168" s="307">
        <v>30260</v>
      </c>
      <c r="W168" s="307">
        <v>31710</v>
      </c>
      <c r="X168" s="307">
        <v>32250</v>
      </c>
      <c r="Y168" s="307">
        <v>32440</v>
      </c>
      <c r="Z168" s="307">
        <v>31560</v>
      </c>
      <c r="AA168" s="307">
        <v>30600</v>
      </c>
      <c r="AB168" s="307">
        <v>30300</v>
      </c>
      <c r="AC168" s="307">
        <v>30380</v>
      </c>
      <c r="AD168" s="307">
        <v>30620</v>
      </c>
      <c r="AE168" s="307">
        <v>31090</v>
      </c>
      <c r="AF168" s="307">
        <v>30820</v>
      </c>
      <c r="AG168" s="307">
        <v>31760</v>
      </c>
      <c r="AH168" s="307">
        <v>31230</v>
      </c>
      <c r="AI168" s="307">
        <v>29900</v>
      </c>
      <c r="AJ168" s="307">
        <v>28800</v>
      </c>
      <c r="AK168" s="307">
        <v>27690</v>
      </c>
      <c r="AL168" s="307">
        <v>26500</v>
      </c>
      <c r="AM168" s="307">
        <v>26540</v>
      </c>
      <c r="AN168" s="307">
        <v>26330</v>
      </c>
      <c r="AO168" s="307">
        <v>27350</v>
      </c>
      <c r="AP168" s="307">
        <v>27740</v>
      </c>
      <c r="AQ168" s="307">
        <v>28270</v>
      </c>
      <c r="AR168" s="307">
        <v>29100</v>
      </c>
      <c r="AS168" s="307">
        <v>30040</v>
      </c>
      <c r="AT168" s="307">
        <v>30430</v>
      </c>
      <c r="AU168" s="307">
        <v>30880</v>
      </c>
      <c r="AV168" s="307">
        <v>31420</v>
      </c>
      <c r="AW168" s="307">
        <v>31460</v>
      </c>
      <c r="AX168" s="307">
        <v>32910</v>
      </c>
      <c r="AY168" s="307">
        <v>33820</v>
      </c>
      <c r="AZ168" s="307">
        <v>35450</v>
      </c>
      <c r="BA168" s="307">
        <v>35920</v>
      </c>
      <c r="BB168" s="307">
        <v>34970</v>
      </c>
      <c r="BC168" s="307">
        <v>34960</v>
      </c>
      <c r="BD168" s="307">
        <v>34480</v>
      </c>
      <c r="BE168" s="307">
        <v>34590</v>
      </c>
      <c r="BF168" s="307">
        <v>34040</v>
      </c>
    </row>
    <row r="169" spans="1:58" x14ac:dyDescent="0.2">
      <c r="A169" s="308" t="s">
        <v>71</v>
      </c>
      <c r="B169" s="305"/>
      <c r="C169" s="307">
        <v>16900</v>
      </c>
      <c r="D169" s="307">
        <v>18280</v>
      </c>
      <c r="E169" s="307">
        <v>18510</v>
      </c>
      <c r="F169" s="307">
        <v>16590</v>
      </c>
      <c r="G169" s="307">
        <v>18320</v>
      </c>
      <c r="H169" s="307">
        <v>19250</v>
      </c>
      <c r="I169" s="307">
        <v>20300</v>
      </c>
      <c r="J169" s="307">
        <v>23990</v>
      </c>
      <c r="K169" s="307">
        <v>23830</v>
      </c>
      <c r="L169" s="307">
        <v>23300</v>
      </c>
      <c r="M169" s="307">
        <v>24070</v>
      </c>
      <c r="N169" s="307">
        <v>23950</v>
      </c>
      <c r="O169" s="307">
        <v>24290</v>
      </c>
      <c r="P169" s="307">
        <v>24710</v>
      </c>
      <c r="Q169" s="307">
        <v>25690</v>
      </c>
      <c r="R169" s="307">
        <v>26380</v>
      </c>
      <c r="S169" s="307">
        <v>27270</v>
      </c>
      <c r="T169" s="307">
        <v>27860</v>
      </c>
      <c r="U169" s="307">
        <v>28460</v>
      </c>
      <c r="V169" s="307">
        <v>29740</v>
      </c>
      <c r="W169" s="307">
        <v>30180</v>
      </c>
      <c r="X169" s="307">
        <v>31620</v>
      </c>
      <c r="Y169" s="307">
        <v>32170</v>
      </c>
      <c r="Z169" s="307">
        <v>32360</v>
      </c>
      <c r="AA169" s="307">
        <v>31490</v>
      </c>
      <c r="AB169" s="307">
        <v>30530</v>
      </c>
      <c r="AC169" s="307">
        <v>30240</v>
      </c>
      <c r="AD169" s="307">
        <v>30330</v>
      </c>
      <c r="AE169" s="307">
        <v>30570</v>
      </c>
      <c r="AF169" s="307">
        <v>31030</v>
      </c>
      <c r="AG169" s="307">
        <v>30780</v>
      </c>
      <c r="AH169" s="307">
        <v>31710</v>
      </c>
      <c r="AI169" s="307">
        <v>31180</v>
      </c>
      <c r="AJ169" s="307">
        <v>29870</v>
      </c>
      <c r="AK169" s="307">
        <v>28770</v>
      </c>
      <c r="AL169" s="307">
        <v>27670</v>
      </c>
      <c r="AM169" s="307">
        <v>26490</v>
      </c>
      <c r="AN169" s="307">
        <v>26530</v>
      </c>
      <c r="AO169" s="307">
        <v>26320</v>
      </c>
      <c r="AP169" s="307">
        <v>27340</v>
      </c>
      <c r="AQ169" s="307">
        <v>27740</v>
      </c>
      <c r="AR169" s="307">
        <v>28260</v>
      </c>
      <c r="AS169" s="307">
        <v>29090</v>
      </c>
      <c r="AT169" s="307">
        <v>30040</v>
      </c>
      <c r="AU169" s="307">
        <v>30430</v>
      </c>
      <c r="AV169" s="307">
        <v>30880</v>
      </c>
      <c r="AW169" s="307">
        <v>31420</v>
      </c>
      <c r="AX169" s="307">
        <v>31450</v>
      </c>
      <c r="AY169" s="307">
        <v>32900</v>
      </c>
      <c r="AZ169" s="307">
        <v>33820</v>
      </c>
      <c r="BA169" s="307">
        <v>35450</v>
      </c>
      <c r="BB169" s="307">
        <v>35910</v>
      </c>
      <c r="BC169" s="307">
        <v>34980</v>
      </c>
      <c r="BD169" s="307">
        <v>34960</v>
      </c>
      <c r="BE169" s="307">
        <v>34490</v>
      </c>
      <c r="BF169" s="307">
        <v>34600</v>
      </c>
    </row>
    <row r="170" spans="1:58" x14ac:dyDescent="0.2">
      <c r="A170" s="308" t="s">
        <v>72</v>
      </c>
      <c r="B170" s="305"/>
      <c r="C170" s="307">
        <v>15620</v>
      </c>
      <c r="D170" s="307">
        <v>16770</v>
      </c>
      <c r="E170" s="307">
        <v>18120</v>
      </c>
      <c r="F170" s="307">
        <v>18410</v>
      </c>
      <c r="G170" s="307">
        <v>16460</v>
      </c>
      <c r="H170" s="307">
        <v>18190</v>
      </c>
      <c r="I170" s="307">
        <v>19130</v>
      </c>
      <c r="J170" s="307">
        <v>20170</v>
      </c>
      <c r="K170" s="307">
        <v>23840</v>
      </c>
      <c r="L170" s="307">
        <v>23700</v>
      </c>
      <c r="M170" s="307">
        <v>23180</v>
      </c>
      <c r="N170" s="307">
        <v>23950</v>
      </c>
      <c r="O170" s="307">
        <v>23840</v>
      </c>
      <c r="P170" s="307">
        <v>24180</v>
      </c>
      <c r="Q170" s="307">
        <v>24600</v>
      </c>
      <c r="R170" s="307">
        <v>25580</v>
      </c>
      <c r="S170" s="307">
        <v>26260</v>
      </c>
      <c r="T170" s="307">
        <v>27160</v>
      </c>
      <c r="U170" s="307">
        <v>27750</v>
      </c>
      <c r="V170" s="307">
        <v>28350</v>
      </c>
      <c r="W170" s="307">
        <v>29630</v>
      </c>
      <c r="X170" s="307">
        <v>30070</v>
      </c>
      <c r="Y170" s="307">
        <v>31510</v>
      </c>
      <c r="Z170" s="307">
        <v>32060</v>
      </c>
      <c r="AA170" s="307">
        <v>32250</v>
      </c>
      <c r="AB170" s="307">
        <v>31400</v>
      </c>
      <c r="AC170" s="307">
        <v>30440</v>
      </c>
      <c r="AD170" s="307">
        <v>30160</v>
      </c>
      <c r="AE170" s="307">
        <v>30250</v>
      </c>
      <c r="AF170" s="307">
        <v>30490</v>
      </c>
      <c r="AG170" s="307">
        <v>30960</v>
      </c>
      <c r="AH170" s="307">
        <v>30710</v>
      </c>
      <c r="AI170" s="307">
        <v>31640</v>
      </c>
      <c r="AJ170" s="307">
        <v>31120</v>
      </c>
      <c r="AK170" s="307">
        <v>29810</v>
      </c>
      <c r="AL170" s="307">
        <v>28730</v>
      </c>
      <c r="AM170" s="307">
        <v>27630</v>
      </c>
      <c r="AN170" s="307">
        <v>26450</v>
      </c>
      <c r="AO170" s="307">
        <v>26490</v>
      </c>
      <c r="AP170" s="307">
        <v>26290</v>
      </c>
      <c r="AQ170" s="307">
        <v>27310</v>
      </c>
      <c r="AR170" s="307">
        <v>27710</v>
      </c>
      <c r="AS170" s="307">
        <v>28230</v>
      </c>
      <c r="AT170" s="307">
        <v>29060</v>
      </c>
      <c r="AU170" s="307">
        <v>30010</v>
      </c>
      <c r="AV170" s="307">
        <v>30400</v>
      </c>
      <c r="AW170" s="307">
        <v>30850</v>
      </c>
      <c r="AX170" s="307">
        <v>31390</v>
      </c>
      <c r="AY170" s="307">
        <v>31430</v>
      </c>
      <c r="AZ170" s="307">
        <v>32880</v>
      </c>
      <c r="BA170" s="307">
        <v>33800</v>
      </c>
      <c r="BB170" s="307">
        <v>35420</v>
      </c>
      <c r="BC170" s="307">
        <v>35890</v>
      </c>
      <c r="BD170" s="307">
        <v>34960</v>
      </c>
      <c r="BE170" s="307">
        <v>34940</v>
      </c>
      <c r="BF170" s="307">
        <v>34480</v>
      </c>
    </row>
    <row r="171" spans="1:58" x14ac:dyDescent="0.2">
      <c r="A171" s="308" t="s">
        <v>73</v>
      </c>
      <c r="B171" s="305"/>
      <c r="C171" s="307">
        <v>14760</v>
      </c>
      <c r="D171" s="307">
        <v>15450</v>
      </c>
      <c r="E171" s="307">
        <v>16630</v>
      </c>
      <c r="F171" s="307">
        <v>17970</v>
      </c>
      <c r="G171" s="307">
        <v>18250</v>
      </c>
      <c r="H171" s="307">
        <v>16320</v>
      </c>
      <c r="I171" s="307">
        <v>18050</v>
      </c>
      <c r="J171" s="307">
        <v>18990</v>
      </c>
      <c r="K171" s="307">
        <v>20030</v>
      </c>
      <c r="L171" s="307">
        <v>23680</v>
      </c>
      <c r="M171" s="307">
        <v>23540</v>
      </c>
      <c r="N171" s="307">
        <v>23040</v>
      </c>
      <c r="O171" s="307">
        <v>23800</v>
      </c>
      <c r="P171" s="307">
        <v>23700</v>
      </c>
      <c r="Q171" s="307">
        <v>24040</v>
      </c>
      <c r="R171" s="307">
        <v>24470</v>
      </c>
      <c r="S171" s="307">
        <v>25450</v>
      </c>
      <c r="T171" s="307">
        <v>26130</v>
      </c>
      <c r="U171" s="307">
        <v>27030</v>
      </c>
      <c r="V171" s="307">
        <v>27620</v>
      </c>
      <c r="W171" s="307">
        <v>28220</v>
      </c>
      <c r="X171" s="307">
        <v>29490</v>
      </c>
      <c r="Y171" s="307">
        <v>29940</v>
      </c>
      <c r="Z171" s="307">
        <v>31370</v>
      </c>
      <c r="AA171" s="307">
        <v>31930</v>
      </c>
      <c r="AB171" s="307">
        <v>32120</v>
      </c>
      <c r="AC171" s="307">
        <v>31270</v>
      </c>
      <c r="AD171" s="307">
        <v>30330</v>
      </c>
      <c r="AE171" s="307">
        <v>30060</v>
      </c>
      <c r="AF171" s="307">
        <v>30150</v>
      </c>
      <c r="AG171" s="307">
        <v>30390</v>
      </c>
      <c r="AH171" s="307">
        <v>30860</v>
      </c>
      <c r="AI171" s="307">
        <v>30610</v>
      </c>
      <c r="AJ171" s="307">
        <v>31550</v>
      </c>
      <c r="AK171" s="307">
        <v>31030</v>
      </c>
      <c r="AL171" s="307">
        <v>29730</v>
      </c>
      <c r="AM171" s="307">
        <v>28660</v>
      </c>
      <c r="AN171" s="307">
        <v>27570</v>
      </c>
      <c r="AO171" s="307">
        <v>26400</v>
      </c>
      <c r="AP171" s="307">
        <v>26440</v>
      </c>
      <c r="AQ171" s="307">
        <v>26240</v>
      </c>
      <c r="AR171" s="307">
        <v>27260</v>
      </c>
      <c r="AS171" s="307">
        <v>27660</v>
      </c>
      <c r="AT171" s="307">
        <v>28190</v>
      </c>
      <c r="AU171" s="307">
        <v>29020</v>
      </c>
      <c r="AV171" s="307">
        <v>29960</v>
      </c>
      <c r="AW171" s="307">
        <v>30350</v>
      </c>
      <c r="AX171" s="307">
        <v>30800</v>
      </c>
      <c r="AY171" s="307">
        <v>31350</v>
      </c>
      <c r="AZ171" s="307">
        <v>31390</v>
      </c>
      <c r="BA171" s="307">
        <v>32840</v>
      </c>
      <c r="BB171" s="307">
        <v>33750</v>
      </c>
      <c r="BC171" s="307">
        <v>35380</v>
      </c>
      <c r="BD171" s="307">
        <v>35840</v>
      </c>
      <c r="BE171" s="307">
        <v>34920</v>
      </c>
      <c r="BF171" s="307">
        <v>34910</v>
      </c>
    </row>
    <row r="172" spans="1:58" x14ac:dyDescent="0.2">
      <c r="A172" s="308" t="s">
        <v>74</v>
      </c>
      <c r="B172" s="305"/>
      <c r="C172" s="307">
        <v>14230</v>
      </c>
      <c r="D172" s="307">
        <v>14620</v>
      </c>
      <c r="E172" s="307">
        <v>15300</v>
      </c>
      <c r="F172" s="307">
        <v>16460</v>
      </c>
      <c r="G172" s="307">
        <v>17830</v>
      </c>
      <c r="H172" s="307">
        <v>18080</v>
      </c>
      <c r="I172" s="307">
        <v>16170</v>
      </c>
      <c r="J172" s="307">
        <v>17890</v>
      </c>
      <c r="K172" s="307">
        <v>18830</v>
      </c>
      <c r="L172" s="307">
        <v>19880</v>
      </c>
      <c r="M172" s="307">
        <v>23500</v>
      </c>
      <c r="N172" s="307">
        <v>23370</v>
      </c>
      <c r="O172" s="307">
        <v>22880</v>
      </c>
      <c r="P172" s="307">
        <v>23640</v>
      </c>
      <c r="Q172" s="307">
        <v>23540</v>
      </c>
      <c r="R172" s="307">
        <v>23890</v>
      </c>
      <c r="S172" s="307">
        <v>24320</v>
      </c>
      <c r="T172" s="307">
        <v>25290</v>
      </c>
      <c r="U172" s="307">
        <v>25980</v>
      </c>
      <c r="V172" s="307">
        <v>26870</v>
      </c>
      <c r="W172" s="307">
        <v>27460</v>
      </c>
      <c r="X172" s="307">
        <v>28070</v>
      </c>
      <c r="Y172" s="307">
        <v>29330</v>
      </c>
      <c r="Z172" s="307">
        <v>29780</v>
      </c>
      <c r="AA172" s="307">
        <v>31220</v>
      </c>
      <c r="AB172" s="307">
        <v>31770</v>
      </c>
      <c r="AC172" s="307">
        <v>31970</v>
      </c>
      <c r="AD172" s="307">
        <v>31130</v>
      </c>
      <c r="AE172" s="307">
        <v>30200</v>
      </c>
      <c r="AF172" s="307">
        <v>29930</v>
      </c>
      <c r="AG172" s="307">
        <v>30030</v>
      </c>
      <c r="AH172" s="307">
        <v>30270</v>
      </c>
      <c r="AI172" s="307">
        <v>30750</v>
      </c>
      <c r="AJ172" s="307">
        <v>30500</v>
      </c>
      <c r="AK172" s="307">
        <v>31440</v>
      </c>
      <c r="AL172" s="307">
        <v>30930</v>
      </c>
      <c r="AM172" s="307">
        <v>29640</v>
      </c>
      <c r="AN172" s="307">
        <v>28570</v>
      </c>
      <c r="AO172" s="307">
        <v>27490</v>
      </c>
      <c r="AP172" s="307">
        <v>26330</v>
      </c>
      <c r="AQ172" s="307">
        <v>26370</v>
      </c>
      <c r="AR172" s="307">
        <v>26180</v>
      </c>
      <c r="AS172" s="307">
        <v>27200</v>
      </c>
      <c r="AT172" s="307">
        <v>27600</v>
      </c>
      <c r="AU172" s="307">
        <v>28120</v>
      </c>
      <c r="AV172" s="307">
        <v>28950</v>
      </c>
      <c r="AW172" s="307">
        <v>29900</v>
      </c>
      <c r="AX172" s="307">
        <v>30290</v>
      </c>
      <c r="AY172" s="307">
        <v>30740</v>
      </c>
      <c r="AZ172" s="307">
        <v>31290</v>
      </c>
      <c r="BA172" s="307">
        <v>31330</v>
      </c>
      <c r="BB172" s="307">
        <v>32780</v>
      </c>
      <c r="BC172" s="307">
        <v>33700</v>
      </c>
      <c r="BD172" s="307">
        <v>35320</v>
      </c>
      <c r="BE172" s="307">
        <v>35790</v>
      </c>
      <c r="BF172" s="307">
        <v>34860</v>
      </c>
    </row>
    <row r="173" spans="1:58" x14ac:dyDescent="0.2">
      <c r="A173" s="308" t="s">
        <v>75</v>
      </c>
      <c r="B173" s="305"/>
      <c r="C173" s="307">
        <v>13460</v>
      </c>
      <c r="D173" s="307">
        <v>14050</v>
      </c>
      <c r="E173" s="307">
        <v>14450</v>
      </c>
      <c r="F173" s="307">
        <v>15120</v>
      </c>
      <c r="G173" s="307">
        <v>16280</v>
      </c>
      <c r="H173" s="307">
        <v>17640</v>
      </c>
      <c r="I173" s="307">
        <v>17890</v>
      </c>
      <c r="J173" s="307">
        <v>16010</v>
      </c>
      <c r="K173" s="307">
        <v>17720</v>
      </c>
      <c r="L173" s="307">
        <v>18670</v>
      </c>
      <c r="M173" s="307">
        <v>19710</v>
      </c>
      <c r="N173" s="307">
        <v>23300</v>
      </c>
      <c r="O173" s="307">
        <v>23180</v>
      </c>
      <c r="P173" s="307">
        <v>22690</v>
      </c>
      <c r="Q173" s="307">
        <v>23460</v>
      </c>
      <c r="R173" s="307">
        <v>23360</v>
      </c>
      <c r="S173" s="307">
        <v>23710</v>
      </c>
      <c r="T173" s="307">
        <v>24140</v>
      </c>
      <c r="U173" s="307">
        <v>25120</v>
      </c>
      <c r="V173" s="307">
        <v>25800</v>
      </c>
      <c r="W173" s="307">
        <v>26700</v>
      </c>
      <c r="X173" s="307">
        <v>27290</v>
      </c>
      <c r="Y173" s="307">
        <v>27890</v>
      </c>
      <c r="Z173" s="307">
        <v>29160</v>
      </c>
      <c r="AA173" s="307">
        <v>29610</v>
      </c>
      <c r="AB173" s="307">
        <v>31040</v>
      </c>
      <c r="AC173" s="307">
        <v>31600</v>
      </c>
      <c r="AD173" s="307">
        <v>31800</v>
      </c>
      <c r="AE173" s="307">
        <v>30970</v>
      </c>
      <c r="AF173" s="307">
        <v>30050</v>
      </c>
      <c r="AG173" s="307">
        <v>29790</v>
      </c>
      <c r="AH173" s="307">
        <v>29890</v>
      </c>
      <c r="AI173" s="307">
        <v>30140</v>
      </c>
      <c r="AJ173" s="307">
        <v>30610</v>
      </c>
      <c r="AK173" s="307">
        <v>30380</v>
      </c>
      <c r="AL173" s="307">
        <v>31310</v>
      </c>
      <c r="AM173" s="307">
        <v>30810</v>
      </c>
      <c r="AN173" s="307">
        <v>29530</v>
      </c>
      <c r="AO173" s="307">
        <v>28470</v>
      </c>
      <c r="AP173" s="307">
        <v>27400</v>
      </c>
      <c r="AQ173" s="307">
        <v>26240</v>
      </c>
      <c r="AR173" s="307">
        <v>26290</v>
      </c>
      <c r="AS173" s="307">
        <v>26100</v>
      </c>
      <c r="AT173" s="307">
        <v>27120</v>
      </c>
      <c r="AU173" s="307">
        <v>27520</v>
      </c>
      <c r="AV173" s="307">
        <v>28050</v>
      </c>
      <c r="AW173" s="307">
        <v>28880</v>
      </c>
      <c r="AX173" s="307">
        <v>29820</v>
      </c>
      <c r="AY173" s="307">
        <v>30210</v>
      </c>
      <c r="AZ173" s="307">
        <v>30670</v>
      </c>
      <c r="BA173" s="307">
        <v>31210</v>
      </c>
      <c r="BB173" s="307">
        <v>31260</v>
      </c>
      <c r="BC173" s="307">
        <v>32710</v>
      </c>
      <c r="BD173" s="307">
        <v>33620</v>
      </c>
      <c r="BE173" s="307">
        <v>35240</v>
      </c>
      <c r="BF173" s="307">
        <v>35710</v>
      </c>
    </row>
    <row r="174" spans="1:58" x14ac:dyDescent="0.2">
      <c r="A174" s="308" t="s">
        <v>76</v>
      </c>
      <c r="B174" s="305"/>
      <c r="C174" s="307">
        <v>12650</v>
      </c>
      <c r="D174" s="307">
        <v>13270</v>
      </c>
      <c r="E174" s="307">
        <v>13880</v>
      </c>
      <c r="F174" s="307">
        <v>14280</v>
      </c>
      <c r="G174" s="307">
        <v>14950</v>
      </c>
      <c r="H174" s="307">
        <v>16050</v>
      </c>
      <c r="I174" s="307">
        <v>17430</v>
      </c>
      <c r="J174" s="307">
        <v>17690</v>
      </c>
      <c r="K174" s="307">
        <v>15840</v>
      </c>
      <c r="L174" s="307">
        <v>17540</v>
      </c>
      <c r="M174" s="307">
        <v>18480</v>
      </c>
      <c r="N174" s="307">
        <v>19520</v>
      </c>
      <c r="O174" s="307">
        <v>23080</v>
      </c>
      <c r="P174" s="307">
        <v>22960</v>
      </c>
      <c r="Q174" s="307">
        <v>22490</v>
      </c>
      <c r="R174" s="307">
        <v>23250</v>
      </c>
      <c r="S174" s="307">
        <v>23170</v>
      </c>
      <c r="T174" s="307">
        <v>23520</v>
      </c>
      <c r="U174" s="307">
        <v>23950</v>
      </c>
      <c r="V174" s="307">
        <v>24920</v>
      </c>
      <c r="W174" s="307">
        <v>25610</v>
      </c>
      <c r="X174" s="307">
        <v>26500</v>
      </c>
      <c r="Y174" s="307">
        <v>27090</v>
      </c>
      <c r="Z174" s="307">
        <v>27700</v>
      </c>
      <c r="AA174" s="307">
        <v>28960</v>
      </c>
      <c r="AB174" s="307">
        <v>29410</v>
      </c>
      <c r="AC174" s="307">
        <v>30840</v>
      </c>
      <c r="AD174" s="307">
        <v>31400</v>
      </c>
      <c r="AE174" s="307">
        <v>31610</v>
      </c>
      <c r="AF174" s="307">
        <v>30790</v>
      </c>
      <c r="AG174" s="307">
        <v>29880</v>
      </c>
      <c r="AH174" s="307">
        <v>29630</v>
      </c>
      <c r="AI174" s="307">
        <v>29730</v>
      </c>
      <c r="AJ174" s="307">
        <v>29980</v>
      </c>
      <c r="AK174" s="307">
        <v>30460</v>
      </c>
      <c r="AL174" s="307">
        <v>30230</v>
      </c>
      <c r="AM174" s="307">
        <v>31160</v>
      </c>
      <c r="AN174" s="307">
        <v>30670</v>
      </c>
      <c r="AO174" s="307">
        <v>29400</v>
      </c>
      <c r="AP174" s="307">
        <v>28350</v>
      </c>
      <c r="AQ174" s="307">
        <v>27290</v>
      </c>
      <c r="AR174" s="307">
        <v>26140</v>
      </c>
      <c r="AS174" s="307">
        <v>26200</v>
      </c>
      <c r="AT174" s="307">
        <v>26010</v>
      </c>
      <c r="AU174" s="307">
        <v>27030</v>
      </c>
      <c r="AV174" s="307">
        <v>27430</v>
      </c>
      <c r="AW174" s="307">
        <v>27960</v>
      </c>
      <c r="AX174" s="307">
        <v>28780</v>
      </c>
      <c r="AY174" s="307">
        <v>29730</v>
      </c>
      <c r="AZ174" s="307">
        <v>30130</v>
      </c>
      <c r="BA174" s="307">
        <v>30580</v>
      </c>
      <c r="BB174" s="307">
        <v>31130</v>
      </c>
      <c r="BC174" s="307">
        <v>31180</v>
      </c>
      <c r="BD174" s="307">
        <v>32620</v>
      </c>
      <c r="BE174" s="307">
        <v>33540</v>
      </c>
      <c r="BF174" s="307">
        <v>35150</v>
      </c>
    </row>
    <row r="175" spans="1:58" x14ac:dyDescent="0.2">
      <c r="A175" s="308" t="s">
        <v>77</v>
      </c>
      <c r="B175" s="305"/>
      <c r="C175" s="307">
        <v>12410</v>
      </c>
      <c r="D175" s="307">
        <v>12470</v>
      </c>
      <c r="E175" s="307">
        <v>13110</v>
      </c>
      <c r="F175" s="307">
        <v>13680</v>
      </c>
      <c r="G175" s="307">
        <v>14120</v>
      </c>
      <c r="H175" s="307">
        <v>14760</v>
      </c>
      <c r="I175" s="307">
        <v>15840</v>
      </c>
      <c r="J175" s="307">
        <v>17210</v>
      </c>
      <c r="K175" s="307">
        <v>17480</v>
      </c>
      <c r="L175" s="307">
        <v>15660</v>
      </c>
      <c r="M175" s="307">
        <v>17350</v>
      </c>
      <c r="N175" s="307">
        <v>18280</v>
      </c>
      <c r="O175" s="307">
        <v>19310</v>
      </c>
      <c r="P175" s="307">
        <v>22840</v>
      </c>
      <c r="Q175" s="307">
        <v>22730</v>
      </c>
      <c r="R175" s="307">
        <v>22270</v>
      </c>
      <c r="S175" s="307">
        <v>23030</v>
      </c>
      <c r="T175" s="307">
        <v>22950</v>
      </c>
      <c r="U175" s="307">
        <v>23310</v>
      </c>
      <c r="V175" s="307">
        <v>23740</v>
      </c>
      <c r="W175" s="307">
        <v>24710</v>
      </c>
      <c r="X175" s="307">
        <v>25400</v>
      </c>
      <c r="Y175" s="307">
        <v>26290</v>
      </c>
      <c r="Z175" s="307">
        <v>26880</v>
      </c>
      <c r="AA175" s="307">
        <v>27490</v>
      </c>
      <c r="AB175" s="307">
        <v>28750</v>
      </c>
      <c r="AC175" s="307">
        <v>29200</v>
      </c>
      <c r="AD175" s="307">
        <v>30620</v>
      </c>
      <c r="AE175" s="307">
        <v>31190</v>
      </c>
      <c r="AF175" s="307">
        <v>31400</v>
      </c>
      <c r="AG175" s="307">
        <v>30600</v>
      </c>
      <c r="AH175" s="307">
        <v>29700</v>
      </c>
      <c r="AI175" s="307">
        <v>29450</v>
      </c>
      <c r="AJ175" s="307">
        <v>29560</v>
      </c>
      <c r="AK175" s="307">
        <v>29820</v>
      </c>
      <c r="AL175" s="307">
        <v>30300</v>
      </c>
      <c r="AM175" s="307">
        <v>30070</v>
      </c>
      <c r="AN175" s="307">
        <v>31000</v>
      </c>
      <c r="AO175" s="307">
        <v>30520</v>
      </c>
      <c r="AP175" s="307">
        <v>29260</v>
      </c>
      <c r="AQ175" s="307">
        <v>28220</v>
      </c>
      <c r="AR175" s="307">
        <v>27170</v>
      </c>
      <c r="AS175" s="307">
        <v>26030</v>
      </c>
      <c r="AT175" s="307">
        <v>26090</v>
      </c>
      <c r="AU175" s="307">
        <v>25910</v>
      </c>
      <c r="AV175" s="307">
        <v>26920</v>
      </c>
      <c r="AW175" s="307">
        <v>27320</v>
      </c>
      <c r="AX175" s="307">
        <v>27860</v>
      </c>
      <c r="AY175" s="307">
        <v>28680</v>
      </c>
      <c r="AZ175" s="307">
        <v>29630</v>
      </c>
      <c r="BA175" s="307">
        <v>30020</v>
      </c>
      <c r="BB175" s="307">
        <v>30480</v>
      </c>
      <c r="BC175" s="307">
        <v>31030</v>
      </c>
      <c r="BD175" s="307">
        <v>31080</v>
      </c>
      <c r="BE175" s="307">
        <v>32520</v>
      </c>
      <c r="BF175" s="307">
        <v>33440</v>
      </c>
    </row>
    <row r="176" spans="1:58" x14ac:dyDescent="0.2">
      <c r="A176" s="308" t="s">
        <v>78</v>
      </c>
      <c r="B176" s="305"/>
      <c r="C176" s="307">
        <v>12300</v>
      </c>
      <c r="D176" s="307">
        <v>12180</v>
      </c>
      <c r="E176" s="307">
        <v>12250</v>
      </c>
      <c r="F176" s="307">
        <v>12900</v>
      </c>
      <c r="G176" s="307">
        <v>13460</v>
      </c>
      <c r="H176" s="307">
        <v>13920</v>
      </c>
      <c r="I176" s="307">
        <v>14550</v>
      </c>
      <c r="J176" s="307">
        <v>15610</v>
      </c>
      <c r="K176" s="307">
        <v>16970</v>
      </c>
      <c r="L176" s="307">
        <v>17250</v>
      </c>
      <c r="M176" s="307">
        <v>15470</v>
      </c>
      <c r="N176" s="307">
        <v>17140</v>
      </c>
      <c r="O176" s="307">
        <v>18070</v>
      </c>
      <c r="P176" s="307">
        <v>19090</v>
      </c>
      <c r="Q176" s="307">
        <v>22580</v>
      </c>
      <c r="R176" s="307">
        <v>22480</v>
      </c>
      <c r="S176" s="307">
        <v>22030</v>
      </c>
      <c r="T176" s="307">
        <v>22790</v>
      </c>
      <c r="U176" s="307">
        <v>22720</v>
      </c>
      <c r="V176" s="307">
        <v>23080</v>
      </c>
      <c r="W176" s="307">
        <v>23520</v>
      </c>
      <c r="X176" s="307">
        <v>24480</v>
      </c>
      <c r="Y176" s="307">
        <v>25170</v>
      </c>
      <c r="Z176" s="307">
        <v>26060</v>
      </c>
      <c r="AA176" s="307">
        <v>26650</v>
      </c>
      <c r="AB176" s="307">
        <v>27260</v>
      </c>
      <c r="AC176" s="307">
        <v>28510</v>
      </c>
      <c r="AD176" s="307">
        <v>28970</v>
      </c>
      <c r="AE176" s="307">
        <v>30390</v>
      </c>
      <c r="AF176" s="307">
        <v>30950</v>
      </c>
      <c r="AG176" s="307">
        <v>31170</v>
      </c>
      <c r="AH176" s="307">
        <v>30380</v>
      </c>
      <c r="AI176" s="307">
        <v>29500</v>
      </c>
      <c r="AJ176" s="307">
        <v>29250</v>
      </c>
      <c r="AK176" s="307">
        <v>29370</v>
      </c>
      <c r="AL176" s="307">
        <v>29630</v>
      </c>
      <c r="AM176" s="307">
        <v>30110</v>
      </c>
      <c r="AN176" s="307">
        <v>29890</v>
      </c>
      <c r="AO176" s="307">
        <v>30820</v>
      </c>
      <c r="AP176" s="307">
        <v>30350</v>
      </c>
      <c r="AQ176" s="307">
        <v>29100</v>
      </c>
      <c r="AR176" s="307">
        <v>28070</v>
      </c>
      <c r="AS176" s="307">
        <v>27030</v>
      </c>
      <c r="AT176" s="307">
        <v>25910</v>
      </c>
      <c r="AU176" s="307">
        <v>25970</v>
      </c>
      <c r="AV176" s="307">
        <v>25790</v>
      </c>
      <c r="AW176" s="307">
        <v>26800</v>
      </c>
      <c r="AX176" s="307">
        <v>27210</v>
      </c>
      <c r="AY176" s="307">
        <v>27740</v>
      </c>
      <c r="AZ176" s="307">
        <v>28570</v>
      </c>
      <c r="BA176" s="307">
        <v>29510</v>
      </c>
      <c r="BB176" s="307">
        <v>29910</v>
      </c>
      <c r="BC176" s="307">
        <v>30370</v>
      </c>
      <c r="BD176" s="307">
        <v>30920</v>
      </c>
      <c r="BE176" s="307">
        <v>30980</v>
      </c>
      <c r="BF176" s="307">
        <v>32410</v>
      </c>
    </row>
    <row r="177" spans="1:58" x14ac:dyDescent="0.2">
      <c r="A177" s="308" t="s">
        <v>79</v>
      </c>
      <c r="B177" s="305"/>
      <c r="C177" s="307">
        <v>11960</v>
      </c>
      <c r="D177" s="307">
        <v>12060</v>
      </c>
      <c r="E177" s="307">
        <v>11950</v>
      </c>
      <c r="F177" s="307">
        <v>12010</v>
      </c>
      <c r="G177" s="307">
        <v>12660</v>
      </c>
      <c r="H177" s="307">
        <v>13260</v>
      </c>
      <c r="I177" s="307">
        <v>13690</v>
      </c>
      <c r="J177" s="307">
        <v>14320</v>
      </c>
      <c r="K177" s="307">
        <v>15380</v>
      </c>
      <c r="L177" s="307">
        <v>16730</v>
      </c>
      <c r="M177" s="307">
        <v>17000</v>
      </c>
      <c r="N177" s="307">
        <v>15260</v>
      </c>
      <c r="O177" s="307">
        <v>16910</v>
      </c>
      <c r="P177" s="307">
        <v>17830</v>
      </c>
      <c r="Q177" s="307">
        <v>18840</v>
      </c>
      <c r="R177" s="307">
        <v>22290</v>
      </c>
      <c r="S177" s="307">
        <v>22200</v>
      </c>
      <c r="T177" s="307">
        <v>21770</v>
      </c>
      <c r="U177" s="307">
        <v>22530</v>
      </c>
      <c r="V177" s="307">
        <v>22470</v>
      </c>
      <c r="W177" s="307">
        <v>22830</v>
      </c>
      <c r="X177" s="307">
        <v>23270</v>
      </c>
      <c r="Y177" s="307">
        <v>24230</v>
      </c>
      <c r="Z177" s="307">
        <v>24910</v>
      </c>
      <c r="AA177" s="307">
        <v>25800</v>
      </c>
      <c r="AB177" s="307">
        <v>26400</v>
      </c>
      <c r="AC177" s="307">
        <v>27010</v>
      </c>
      <c r="AD177" s="307">
        <v>28250</v>
      </c>
      <c r="AE177" s="307">
        <v>28720</v>
      </c>
      <c r="AF177" s="307">
        <v>30120</v>
      </c>
      <c r="AG177" s="307">
        <v>30690</v>
      </c>
      <c r="AH177" s="307">
        <v>30920</v>
      </c>
      <c r="AI177" s="307">
        <v>30140</v>
      </c>
      <c r="AJ177" s="307">
        <v>29270</v>
      </c>
      <c r="AK177" s="307">
        <v>29040</v>
      </c>
      <c r="AL177" s="307">
        <v>29160</v>
      </c>
      <c r="AM177" s="307">
        <v>29420</v>
      </c>
      <c r="AN177" s="307">
        <v>29910</v>
      </c>
      <c r="AO177" s="307">
        <v>29690</v>
      </c>
      <c r="AP177" s="307">
        <v>30630</v>
      </c>
      <c r="AQ177" s="307">
        <v>30160</v>
      </c>
      <c r="AR177" s="307">
        <v>28930</v>
      </c>
      <c r="AS177" s="307">
        <v>27910</v>
      </c>
      <c r="AT177" s="307">
        <v>26880</v>
      </c>
      <c r="AU177" s="307">
        <v>25770</v>
      </c>
      <c r="AV177" s="307">
        <v>25830</v>
      </c>
      <c r="AW177" s="307">
        <v>25660</v>
      </c>
      <c r="AX177" s="307">
        <v>26670</v>
      </c>
      <c r="AY177" s="307">
        <v>27080</v>
      </c>
      <c r="AZ177" s="307">
        <v>27610</v>
      </c>
      <c r="BA177" s="307">
        <v>28440</v>
      </c>
      <c r="BB177" s="307">
        <v>29380</v>
      </c>
      <c r="BC177" s="307">
        <v>29780</v>
      </c>
      <c r="BD177" s="307">
        <v>30240</v>
      </c>
      <c r="BE177" s="307">
        <v>30790</v>
      </c>
      <c r="BF177" s="307">
        <v>30850</v>
      </c>
    </row>
    <row r="178" spans="1:58" x14ac:dyDescent="0.2">
      <c r="A178" s="308" t="s">
        <v>80</v>
      </c>
      <c r="B178" s="305"/>
      <c r="C178" s="307">
        <v>12130</v>
      </c>
      <c r="D178" s="307">
        <v>11690</v>
      </c>
      <c r="E178" s="307">
        <v>11790</v>
      </c>
      <c r="F178" s="307">
        <v>11700</v>
      </c>
      <c r="G178" s="307">
        <v>11780</v>
      </c>
      <c r="H178" s="307">
        <v>12400</v>
      </c>
      <c r="I178" s="307">
        <v>13020</v>
      </c>
      <c r="J178" s="307">
        <v>13450</v>
      </c>
      <c r="K178" s="307">
        <v>14070</v>
      </c>
      <c r="L178" s="307">
        <v>15120</v>
      </c>
      <c r="M178" s="307">
        <v>16460</v>
      </c>
      <c r="N178" s="307">
        <v>16740</v>
      </c>
      <c r="O178" s="307">
        <v>15030</v>
      </c>
      <c r="P178" s="307">
        <v>16660</v>
      </c>
      <c r="Q178" s="307">
        <v>17570</v>
      </c>
      <c r="R178" s="307">
        <v>18580</v>
      </c>
      <c r="S178" s="307">
        <v>21980</v>
      </c>
      <c r="T178" s="307">
        <v>21910</v>
      </c>
      <c r="U178" s="307">
        <v>21490</v>
      </c>
      <c r="V178" s="307">
        <v>22240</v>
      </c>
      <c r="W178" s="307">
        <v>22190</v>
      </c>
      <c r="X178" s="307">
        <v>22560</v>
      </c>
      <c r="Y178" s="307">
        <v>23000</v>
      </c>
      <c r="Z178" s="307">
        <v>23950</v>
      </c>
      <c r="AA178" s="307">
        <v>24640</v>
      </c>
      <c r="AB178" s="307">
        <v>25520</v>
      </c>
      <c r="AC178" s="307">
        <v>26120</v>
      </c>
      <c r="AD178" s="307">
        <v>26730</v>
      </c>
      <c r="AE178" s="307">
        <v>27970</v>
      </c>
      <c r="AF178" s="307">
        <v>28430</v>
      </c>
      <c r="AG178" s="307">
        <v>29840</v>
      </c>
      <c r="AH178" s="307">
        <v>30410</v>
      </c>
      <c r="AI178" s="307">
        <v>30640</v>
      </c>
      <c r="AJ178" s="307">
        <v>29880</v>
      </c>
      <c r="AK178" s="307">
        <v>29020</v>
      </c>
      <c r="AL178" s="307">
        <v>28800</v>
      </c>
      <c r="AM178" s="307">
        <v>28920</v>
      </c>
      <c r="AN178" s="307">
        <v>29190</v>
      </c>
      <c r="AO178" s="307">
        <v>29680</v>
      </c>
      <c r="AP178" s="307">
        <v>29480</v>
      </c>
      <c r="AQ178" s="307">
        <v>30410</v>
      </c>
      <c r="AR178" s="307">
        <v>29950</v>
      </c>
      <c r="AS178" s="307">
        <v>28730</v>
      </c>
      <c r="AT178" s="307">
        <v>27730</v>
      </c>
      <c r="AU178" s="307">
        <v>26710</v>
      </c>
      <c r="AV178" s="307">
        <v>25610</v>
      </c>
      <c r="AW178" s="307">
        <v>25680</v>
      </c>
      <c r="AX178" s="307">
        <v>25510</v>
      </c>
      <c r="AY178" s="307">
        <v>26520</v>
      </c>
      <c r="AZ178" s="307">
        <v>26930</v>
      </c>
      <c r="BA178" s="307">
        <v>27460</v>
      </c>
      <c r="BB178" s="307">
        <v>28290</v>
      </c>
      <c r="BC178" s="307">
        <v>29230</v>
      </c>
      <c r="BD178" s="307">
        <v>29630</v>
      </c>
      <c r="BE178" s="307">
        <v>30100</v>
      </c>
      <c r="BF178" s="307">
        <v>30650</v>
      </c>
    </row>
    <row r="179" spans="1:58" x14ac:dyDescent="0.2">
      <c r="A179" s="308" t="s">
        <v>81</v>
      </c>
      <c r="B179" s="305"/>
      <c r="C179" s="307">
        <v>11810</v>
      </c>
      <c r="D179" s="307">
        <v>11840</v>
      </c>
      <c r="E179" s="307">
        <v>11440</v>
      </c>
      <c r="F179" s="307">
        <v>11570</v>
      </c>
      <c r="G179" s="307">
        <v>11470</v>
      </c>
      <c r="H179" s="307">
        <v>11540</v>
      </c>
      <c r="I179" s="307">
        <v>12140</v>
      </c>
      <c r="J179" s="307">
        <v>12760</v>
      </c>
      <c r="K179" s="307">
        <v>13190</v>
      </c>
      <c r="L179" s="307">
        <v>13810</v>
      </c>
      <c r="M179" s="307">
        <v>14850</v>
      </c>
      <c r="N179" s="307">
        <v>16160</v>
      </c>
      <c r="O179" s="307">
        <v>16450</v>
      </c>
      <c r="P179" s="307">
        <v>14780</v>
      </c>
      <c r="Q179" s="307">
        <v>16390</v>
      </c>
      <c r="R179" s="307">
        <v>17290</v>
      </c>
      <c r="S179" s="307">
        <v>18290</v>
      </c>
      <c r="T179" s="307">
        <v>21650</v>
      </c>
      <c r="U179" s="307">
        <v>21580</v>
      </c>
      <c r="V179" s="307">
        <v>21180</v>
      </c>
      <c r="W179" s="307">
        <v>21930</v>
      </c>
      <c r="X179" s="307">
        <v>21890</v>
      </c>
      <c r="Y179" s="307">
        <v>22250</v>
      </c>
      <c r="Z179" s="307">
        <v>22700</v>
      </c>
      <c r="AA179" s="307">
        <v>23650</v>
      </c>
      <c r="AB179" s="307">
        <v>24330</v>
      </c>
      <c r="AC179" s="307">
        <v>25210</v>
      </c>
      <c r="AD179" s="307">
        <v>25810</v>
      </c>
      <c r="AE179" s="307">
        <v>26420</v>
      </c>
      <c r="AF179" s="307">
        <v>27660</v>
      </c>
      <c r="AG179" s="307">
        <v>28120</v>
      </c>
      <c r="AH179" s="307">
        <v>29520</v>
      </c>
      <c r="AI179" s="307">
        <v>30090</v>
      </c>
      <c r="AJ179" s="307">
        <v>30330</v>
      </c>
      <c r="AK179" s="307">
        <v>29580</v>
      </c>
      <c r="AL179" s="307">
        <v>28740</v>
      </c>
      <c r="AM179" s="307">
        <v>28530</v>
      </c>
      <c r="AN179" s="307">
        <v>28660</v>
      </c>
      <c r="AO179" s="307">
        <v>28930</v>
      </c>
      <c r="AP179" s="307">
        <v>29420</v>
      </c>
      <c r="AQ179" s="307">
        <v>29230</v>
      </c>
      <c r="AR179" s="307">
        <v>30160</v>
      </c>
      <c r="AS179" s="307">
        <v>29710</v>
      </c>
      <c r="AT179" s="307">
        <v>28510</v>
      </c>
      <c r="AU179" s="307">
        <v>27520</v>
      </c>
      <c r="AV179" s="307">
        <v>26520</v>
      </c>
      <c r="AW179" s="307">
        <v>25430</v>
      </c>
      <c r="AX179" s="307">
        <v>25500</v>
      </c>
      <c r="AY179" s="307">
        <v>25340</v>
      </c>
      <c r="AZ179" s="307">
        <v>26350</v>
      </c>
      <c r="BA179" s="307">
        <v>26760</v>
      </c>
      <c r="BB179" s="307">
        <v>27300</v>
      </c>
      <c r="BC179" s="307">
        <v>28120</v>
      </c>
      <c r="BD179" s="307">
        <v>29060</v>
      </c>
      <c r="BE179" s="307">
        <v>29470</v>
      </c>
      <c r="BF179" s="307">
        <v>29930</v>
      </c>
    </row>
    <row r="180" spans="1:58" x14ac:dyDescent="0.2">
      <c r="A180" s="308" t="s">
        <v>82</v>
      </c>
      <c r="B180" s="305"/>
      <c r="C180" s="307">
        <v>11080</v>
      </c>
      <c r="D180" s="307">
        <v>11500</v>
      </c>
      <c r="E180" s="307">
        <v>11530</v>
      </c>
      <c r="F180" s="307">
        <v>11160</v>
      </c>
      <c r="G180" s="307">
        <v>11280</v>
      </c>
      <c r="H180" s="307">
        <v>11220</v>
      </c>
      <c r="I180" s="307">
        <v>11270</v>
      </c>
      <c r="J180" s="307">
        <v>11870</v>
      </c>
      <c r="K180" s="307">
        <v>12480</v>
      </c>
      <c r="L180" s="307">
        <v>12910</v>
      </c>
      <c r="M180" s="307">
        <v>13530</v>
      </c>
      <c r="N180" s="307">
        <v>14550</v>
      </c>
      <c r="O180" s="307">
        <v>15850</v>
      </c>
      <c r="P180" s="307">
        <v>16130</v>
      </c>
      <c r="Q180" s="307">
        <v>14500</v>
      </c>
      <c r="R180" s="307">
        <v>16090</v>
      </c>
      <c r="S180" s="307">
        <v>16980</v>
      </c>
      <c r="T180" s="307">
        <v>17970</v>
      </c>
      <c r="U180" s="307">
        <v>21280</v>
      </c>
      <c r="V180" s="307">
        <v>21220</v>
      </c>
      <c r="W180" s="307">
        <v>20830</v>
      </c>
      <c r="X180" s="307">
        <v>21580</v>
      </c>
      <c r="Y180" s="307">
        <v>21550</v>
      </c>
      <c r="Z180" s="307">
        <v>21920</v>
      </c>
      <c r="AA180" s="307">
        <v>22360</v>
      </c>
      <c r="AB180" s="307">
        <v>23310</v>
      </c>
      <c r="AC180" s="307">
        <v>23990</v>
      </c>
      <c r="AD180" s="307">
        <v>24870</v>
      </c>
      <c r="AE180" s="307">
        <v>25470</v>
      </c>
      <c r="AF180" s="307">
        <v>26080</v>
      </c>
      <c r="AG180" s="307">
        <v>27310</v>
      </c>
      <c r="AH180" s="307">
        <v>27780</v>
      </c>
      <c r="AI180" s="307">
        <v>29160</v>
      </c>
      <c r="AJ180" s="307">
        <v>29740</v>
      </c>
      <c r="AK180" s="307">
        <v>29980</v>
      </c>
      <c r="AL180" s="307">
        <v>29250</v>
      </c>
      <c r="AM180" s="307">
        <v>28430</v>
      </c>
      <c r="AN180" s="307">
        <v>28230</v>
      </c>
      <c r="AO180" s="307">
        <v>28360</v>
      </c>
      <c r="AP180" s="307">
        <v>28640</v>
      </c>
      <c r="AQ180" s="307">
        <v>29140</v>
      </c>
      <c r="AR180" s="307">
        <v>28950</v>
      </c>
      <c r="AS180" s="307">
        <v>29880</v>
      </c>
      <c r="AT180" s="307">
        <v>29440</v>
      </c>
      <c r="AU180" s="307">
        <v>28260</v>
      </c>
      <c r="AV180" s="307">
        <v>27290</v>
      </c>
      <c r="AW180" s="307">
        <v>26300</v>
      </c>
      <c r="AX180" s="307">
        <v>25230</v>
      </c>
      <c r="AY180" s="307">
        <v>25300</v>
      </c>
      <c r="AZ180" s="307">
        <v>25150</v>
      </c>
      <c r="BA180" s="307">
        <v>26150</v>
      </c>
      <c r="BB180" s="307">
        <v>26560</v>
      </c>
      <c r="BC180" s="307">
        <v>27100</v>
      </c>
      <c r="BD180" s="307">
        <v>27930</v>
      </c>
      <c r="BE180" s="307">
        <v>28860</v>
      </c>
      <c r="BF180" s="307">
        <v>29270</v>
      </c>
    </row>
    <row r="181" spans="1:58" x14ac:dyDescent="0.2">
      <c r="A181" s="308" t="s">
        <v>83</v>
      </c>
      <c r="B181" s="305"/>
      <c r="C181" s="307">
        <v>10800</v>
      </c>
      <c r="D181" s="307">
        <v>10770</v>
      </c>
      <c r="E181" s="307">
        <v>11190</v>
      </c>
      <c r="F181" s="307">
        <v>11220</v>
      </c>
      <c r="G181" s="307">
        <v>10860</v>
      </c>
      <c r="H181" s="307">
        <v>11000</v>
      </c>
      <c r="I181" s="307">
        <v>10920</v>
      </c>
      <c r="J181" s="307">
        <v>10980</v>
      </c>
      <c r="K181" s="307">
        <v>11570</v>
      </c>
      <c r="L181" s="307">
        <v>12180</v>
      </c>
      <c r="M181" s="307">
        <v>12600</v>
      </c>
      <c r="N181" s="307">
        <v>13210</v>
      </c>
      <c r="O181" s="307">
        <v>14220</v>
      </c>
      <c r="P181" s="307">
        <v>15490</v>
      </c>
      <c r="Q181" s="307">
        <v>15780</v>
      </c>
      <c r="R181" s="307">
        <v>14200</v>
      </c>
      <c r="S181" s="307">
        <v>15760</v>
      </c>
      <c r="T181" s="307">
        <v>16640</v>
      </c>
      <c r="U181" s="307">
        <v>17620</v>
      </c>
      <c r="V181" s="307">
        <v>20870</v>
      </c>
      <c r="W181" s="307">
        <v>20820</v>
      </c>
      <c r="X181" s="307">
        <v>20450</v>
      </c>
      <c r="Y181" s="307">
        <v>21190</v>
      </c>
      <c r="Z181" s="307">
        <v>21170</v>
      </c>
      <c r="AA181" s="307">
        <v>21540</v>
      </c>
      <c r="AB181" s="307">
        <v>21990</v>
      </c>
      <c r="AC181" s="307">
        <v>22930</v>
      </c>
      <c r="AD181" s="307">
        <v>23610</v>
      </c>
      <c r="AE181" s="307">
        <v>24480</v>
      </c>
      <c r="AF181" s="307">
        <v>25080</v>
      </c>
      <c r="AG181" s="307">
        <v>25690</v>
      </c>
      <c r="AH181" s="307">
        <v>26910</v>
      </c>
      <c r="AI181" s="307">
        <v>27380</v>
      </c>
      <c r="AJ181" s="307">
        <v>28760</v>
      </c>
      <c r="AK181" s="307">
        <v>29340</v>
      </c>
      <c r="AL181" s="307">
        <v>29590</v>
      </c>
      <c r="AM181" s="307">
        <v>28880</v>
      </c>
      <c r="AN181" s="307">
        <v>28080</v>
      </c>
      <c r="AO181" s="307">
        <v>27880</v>
      </c>
      <c r="AP181" s="307">
        <v>28030</v>
      </c>
      <c r="AQ181" s="307">
        <v>28310</v>
      </c>
      <c r="AR181" s="307">
        <v>28810</v>
      </c>
      <c r="AS181" s="307">
        <v>28630</v>
      </c>
      <c r="AT181" s="307">
        <v>29560</v>
      </c>
      <c r="AU181" s="307">
        <v>29130</v>
      </c>
      <c r="AV181" s="307">
        <v>27970</v>
      </c>
      <c r="AW181" s="307">
        <v>27010</v>
      </c>
      <c r="AX181" s="307">
        <v>26040</v>
      </c>
      <c r="AY181" s="307">
        <v>24990</v>
      </c>
      <c r="AZ181" s="307">
        <v>25070</v>
      </c>
      <c r="BA181" s="307">
        <v>24920</v>
      </c>
      <c r="BB181" s="307">
        <v>25920</v>
      </c>
      <c r="BC181" s="307">
        <v>26340</v>
      </c>
      <c r="BD181" s="307">
        <v>26880</v>
      </c>
      <c r="BE181" s="307">
        <v>27700</v>
      </c>
      <c r="BF181" s="307">
        <v>28640</v>
      </c>
    </row>
    <row r="182" spans="1:58" x14ac:dyDescent="0.2">
      <c r="A182" s="308" t="s">
        <v>84</v>
      </c>
      <c r="B182" s="305"/>
      <c r="C182" s="307">
        <v>10220</v>
      </c>
      <c r="D182" s="307">
        <v>10420</v>
      </c>
      <c r="E182" s="307">
        <v>10420</v>
      </c>
      <c r="F182" s="307">
        <v>10830</v>
      </c>
      <c r="G182" s="307">
        <v>10910</v>
      </c>
      <c r="H182" s="307">
        <v>10540</v>
      </c>
      <c r="I182" s="307">
        <v>10660</v>
      </c>
      <c r="J182" s="307">
        <v>10600</v>
      </c>
      <c r="K182" s="307">
        <v>10660</v>
      </c>
      <c r="L182" s="307">
        <v>11250</v>
      </c>
      <c r="M182" s="307">
        <v>11840</v>
      </c>
      <c r="N182" s="307">
        <v>12270</v>
      </c>
      <c r="O182" s="307">
        <v>12870</v>
      </c>
      <c r="P182" s="307">
        <v>13860</v>
      </c>
      <c r="Q182" s="307">
        <v>15110</v>
      </c>
      <c r="R182" s="307">
        <v>15400</v>
      </c>
      <c r="S182" s="307">
        <v>13860</v>
      </c>
      <c r="T182" s="307">
        <v>15390</v>
      </c>
      <c r="U182" s="307">
        <v>16260</v>
      </c>
      <c r="V182" s="307">
        <v>17220</v>
      </c>
      <c r="W182" s="307">
        <v>20410</v>
      </c>
      <c r="X182" s="307">
        <v>20370</v>
      </c>
      <c r="Y182" s="307">
        <v>20020</v>
      </c>
      <c r="Z182" s="307">
        <v>20760</v>
      </c>
      <c r="AA182" s="307">
        <v>20750</v>
      </c>
      <c r="AB182" s="307">
        <v>21120</v>
      </c>
      <c r="AC182" s="307">
        <v>21570</v>
      </c>
      <c r="AD182" s="307">
        <v>22500</v>
      </c>
      <c r="AE182" s="307">
        <v>23180</v>
      </c>
      <c r="AF182" s="307">
        <v>24050</v>
      </c>
      <c r="AG182" s="307">
        <v>24640</v>
      </c>
      <c r="AH182" s="307">
        <v>25260</v>
      </c>
      <c r="AI182" s="307">
        <v>26460</v>
      </c>
      <c r="AJ182" s="307">
        <v>26940</v>
      </c>
      <c r="AK182" s="307">
        <v>28300</v>
      </c>
      <c r="AL182" s="307">
        <v>28880</v>
      </c>
      <c r="AM182" s="307">
        <v>29140</v>
      </c>
      <c r="AN182" s="307">
        <v>28450</v>
      </c>
      <c r="AO182" s="307">
        <v>27670</v>
      </c>
      <c r="AP182" s="307">
        <v>27490</v>
      </c>
      <c r="AQ182" s="307">
        <v>27640</v>
      </c>
      <c r="AR182" s="307">
        <v>27930</v>
      </c>
      <c r="AS182" s="307">
        <v>28430</v>
      </c>
      <c r="AT182" s="307">
        <v>28260</v>
      </c>
      <c r="AU182" s="307">
        <v>29180</v>
      </c>
      <c r="AV182" s="307">
        <v>28770</v>
      </c>
      <c r="AW182" s="307">
        <v>27640</v>
      </c>
      <c r="AX182" s="307">
        <v>26700</v>
      </c>
      <c r="AY182" s="307">
        <v>25750</v>
      </c>
      <c r="AZ182" s="307">
        <v>24710</v>
      </c>
      <c r="BA182" s="307">
        <v>24800</v>
      </c>
      <c r="BB182" s="307">
        <v>24660</v>
      </c>
      <c r="BC182" s="307">
        <v>25660</v>
      </c>
      <c r="BD182" s="307">
        <v>26070</v>
      </c>
      <c r="BE182" s="307">
        <v>26610</v>
      </c>
      <c r="BF182" s="307">
        <v>27430</v>
      </c>
    </row>
    <row r="183" spans="1:58" x14ac:dyDescent="0.2">
      <c r="A183" s="308" t="s">
        <v>85</v>
      </c>
      <c r="B183" s="305"/>
      <c r="C183" s="307">
        <v>9890</v>
      </c>
      <c r="D183" s="307">
        <v>9870</v>
      </c>
      <c r="E183" s="307">
        <v>10050</v>
      </c>
      <c r="F183" s="307">
        <v>10040</v>
      </c>
      <c r="G183" s="307">
        <v>10460</v>
      </c>
      <c r="H183" s="307">
        <v>10550</v>
      </c>
      <c r="I183" s="307">
        <v>10170</v>
      </c>
      <c r="J183" s="307">
        <v>10300</v>
      </c>
      <c r="K183" s="307">
        <v>10250</v>
      </c>
      <c r="L183" s="307">
        <v>10320</v>
      </c>
      <c r="M183" s="307">
        <v>10890</v>
      </c>
      <c r="N183" s="307">
        <v>11480</v>
      </c>
      <c r="O183" s="307">
        <v>11890</v>
      </c>
      <c r="P183" s="307">
        <v>12490</v>
      </c>
      <c r="Q183" s="307">
        <v>13450</v>
      </c>
      <c r="R183" s="307">
        <v>14680</v>
      </c>
      <c r="S183" s="307">
        <v>14970</v>
      </c>
      <c r="T183" s="307">
        <v>13480</v>
      </c>
      <c r="U183" s="307">
        <v>14980</v>
      </c>
      <c r="V183" s="307">
        <v>15840</v>
      </c>
      <c r="W183" s="307">
        <v>16790</v>
      </c>
      <c r="X183" s="307">
        <v>19900</v>
      </c>
      <c r="Y183" s="307">
        <v>19880</v>
      </c>
      <c r="Z183" s="307">
        <v>19540</v>
      </c>
      <c r="AA183" s="307">
        <v>20270</v>
      </c>
      <c r="AB183" s="307">
        <v>20270</v>
      </c>
      <c r="AC183" s="307">
        <v>20650</v>
      </c>
      <c r="AD183" s="307">
        <v>21100</v>
      </c>
      <c r="AE183" s="307">
        <v>22020</v>
      </c>
      <c r="AF183" s="307">
        <v>22690</v>
      </c>
      <c r="AG183" s="307">
        <v>23550</v>
      </c>
      <c r="AH183" s="307">
        <v>24150</v>
      </c>
      <c r="AI183" s="307">
        <v>24760</v>
      </c>
      <c r="AJ183" s="307">
        <v>25950</v>
      </c>
      <c r="AK183" s="307">
        <v>26430</v>
      </c>
      <c r="AL183" s="307">
        <v>27780</v>
      </c>
      <c r="AM183" s="307">
        <v>28360</v>
      </c>
      <c r="AN183" s="307">
        <v>28620</v>
      </c>
      <c r="AO183" s="307">
        <v>27950</v>
      </c>
      <c r="AP183" s="307">
        <v>27200</v>
      </c>
      <c r="AQ183" s="307">
        <v>27030</v>
      </c>
      <c r="AR183" s="307">
        <v>27190</v>
      </c>
      <c r="AS183" s="307">
        <v>27490</v>
      </c>
      <c r="AT183" s="307">
        <v>27990</v>
      </c>
      <c r="AU183" s="307">
        <v>27830</v>
      </c>
      <c r="AV183" s="307">
        <v>28750</v>
      </c>
      <c r="AW183" s="307">
        <v>28360</v>
      </c>
      <c r="AX183" s="307">
        <v>27240</v>
      </c>
      <c r="AY183" s="307">
        <v>26330</v>
      </c>
      <c r="AZ183" s="307">
        <v>25400</v>
      </c>
      <c r="BA183" s="307">
        <v>24380</v>
      </c>
      <c r="BB183" s="307">
        <v>24480</v>
      </c>
      <c r="BC183" s="307">
        <v>24350</v>
      </c>
      <c r="BD183" s="307">
        <v>25340</v>
      </c>
      <c r="BE183" s="307">
        <v>25760</v>
      </c>
      <c r="BF183" s="307">
        <v>26300</v>
      </c>
    </row>
    <row r="184" spans="1:58" x14ac:dyDescent="0.2">
      <c r="A184" s="308" t="s">
        <v>86</v>
      </c>
      <c r="B184" s="305"/>
      <c r="C184" s="307">
        <v>9610</v>
      </c>
      <c r="D184" s="307">
        <v>9490</v>
      </c>
      <c r="E184" s="307">
        <v>9460</v>
      </c>
      <c r="F184" s="307">
        <v>9630</v>
      </c>
      <c r="G184" s="307">
        <v>9650</v>
      </c>
      <c r="H184" s="307">
        <v>10020</v>
      </c>
      <c r="I184" s="307">
        <v>10120</v>
      </c>
      <c r="J184" s="307">
        <v>9770</v>
      </c>
      <c r="K184" s="307">
        <v>9910</v>
      </c>
      <c r="L184" s="307">
        <v>9870</v>
      </c>
      <c r="M184" s="307">
        <v>9940</v>
      </c>
      <c r="N184" s="307">
        <v>10500</v>
      </c>
      <c r="O184" s="307">
        <v>11070</v>
      </c>
      <c r="P184" s="307">
        <v>11480</v>
      </c>
      <c r="Q184" s="307">
        <v>12070</v>
      </c>
      <c r="R184" s="307">
        <v>13010</v>
      </c>
      <c r="S184" s="307">
        <v>14200</v>
      </c>
      <c r="T184" s="307">
        <v>14490</v>
      </c>
      <c r="U184" s="307">
        <v>13060</v>
      </c>
      <c r="V184" s="307">
        <v>14520</v>
      </c>
      <c r="W184" s="307">
        <v>15360</v>
      </c>
      <c r="X184" s="307">
        <v>16290</v>
      </c>
      <c r="Y184" s="307">
        <v>19330</v>
      </c>
      <c r="Z184" s="307">
        <v>19310</v>
      </c>
      <c r="AA184" s="307">
        <v>19000</v>
      </c>
      <c r="AB184" s="307">
        <v>19720</v>
      </c>
      <c r="AC184" s="307">
        <v>19730</v>
      </c>
      <c r="AD184" s="307">
        <v>20110</v>
      </c>
      <c r="AE184" s="307">
        <v>20560</v>
      </c>
      <c r="AF184" s="307">
        <v>21470</v>
      </c>
      <c r="AG184" s="307">
        <v>22140</v>
      </c>
      <c r="AH184" s="307">
        <v>22990</v>
      </c>
      <c r="AI184" s="307">
        <v>23580</v>
      </c>
      <c r="AJ184" s="307">
        <v>24190</v>
      </c>
      <c r="AK184" s="307">
        <v>25370</v>
      </c>
      <c r="AL184" s="307">
        <v>25840</v>
      </c>
      <c r="AM184" s="307">
        <v>27180</v>
      </c>
      <c r="AN184" s="307">
        <v>27750</v>
      </c>
      <c r="AO184" s="307">
        <v>28020</v>
      </c>
      <c r="AP184" s="307">
        <v>27390</v>
      </c>
      <c r="AQ184" s="307">
        <v>26660</v>
      </c>
      <c r="AR184" s="307">
        <v>26500</v>
      </c>
      <c r="AS184" s="307">
        <v>26670</v>
      </c>
      <c r="AT184" s="307">
        <v>26970</v>
      </c>
      <c r="AU184" s="307">
        <v>27470</v>
      </c>
      <c r="AV184" s="307">
        <v>27330</v>
      </c>
      <c r="AW184" s="307">
        <v>28240</v>
      </c>
      <c r="AX184" s="307">
        <v>27870</v>
      </c>
      <c r="AY184" s="307">
        <v>26780</v>
      </c>
      <c r="AZ184" s="307">
        <v>25890</v>
      </c>
      <c r="BA184" s="307">
        <v>24990</v>
      </c>
      <c r="BB184" s="307">
        <v>24000</v>
      </c>
      <c r="BC184" s="307">
        <v>24100</v>
      </c>
      <c r="BD184" s="307">
        <v>23980</v>
      </c>
      <c r="BE184" s="307">
        <v>24960</v>
      </c>
      <c r="BF184" s="307">
        <v>25380</v>
      </c>
    </row>
    <row r="185" spans="1:58" x14ac:dyDescent="0.2">
      <c r="A185" s="308" t="s">
        <v>87</v>
      </c>
      <c r="B185" s="305"/>
      <c r="C185" s="307">
        <v>8770</v>
      </c>
      <c r="D185" s="307">
        <v>9140</v>
      </c>
      <c r="E185" s="307">
        <v>9050</v>
      </c>
      <c r="F185" s="307">
        <v>9030</v>
      </c>
      <c r="G185" s="307">
        <v>9210</v>
      </c>
      <c r="H185" s="307">
        <v>9210</v>
      </c>
      <c r="I185" s="307">
        <v>9560</v>
      </c>
      <c r="J185" s="307">
        <v>9670</v>
      </c>
      <c r="K185" s="307">
        <v>9340</v>
      </c>
      <c r="L185" s="307">
        <v>9480</v>
      </c>
      <c r="M185" s="307">
        <v>9450</v>
      </c>
      <c r="N185" s="307">
        <v>9530</v>
      </c>
      <c r="O185" s="307">
        <v>10070</v>
      </c>
      <c r="P185" s="307">
        <v>10630</v>
      </c>
      <c r="Q185" s="307">
        <v>11030</v>
      </c>
      <c r="R185" s="307">
        <v>11600</v>
      </c>
      <c r="S185" s="307">
        <v>12520</v>
      </c>
      <c r="T185" s="307">
        <v>13670</v>
      </c>
      <c r="U185" s="307">
        <v>13960</v>
      </c>
      <c r="V185" s="307">
        <v>12600</v>
      </c>
      <c r="W185" s="307">
        <v>14010</v>
      </c>
      <c r="X185" s="307">
        <v>14830</v>
      </c>
      <c r="Y185" s="307">
        <v>15740</v>
      </c>
      <c r="Z185" s="307">
        <v>18680</v>
      </c>
      <c r="AA185" s="307">
        <v>18680</v>
      </c>
      <c r="AB185" s="307">
        <v>18400</v>
      </c>
      <c r="AC185" s="307">
        <v>19100</v>
      </c>
      <c r="AD185" s="307">
        <v>19130</v>
      </c>
      <c r="AE185" s="307">
        <v>19500</v>
      </c>
      <c r="AF185" s="307">
        <v>19950</v>
      </c>
      <c r="AG185" s="307">
        <v>20840</v>
      </c>
      <c r="AH185" s="307">
        <v>21500</v>
      </c>
      <c r="AI185" s="307">
        <v>22340</v>
      </c>
      <c r="AJ185" s="307">
        <v>22930</v>
      </c>
      <c r="AK185" s="307">
        <v>23530</v>
      </c>
      <c r="AL185" s="307">
        <v>24690</v>
      </c>
      <c r="AM185" s="307">
        <v>25170</v>
      </c>
      <c r="AN185" s="307">
        <v>26480</v>
      </c>
      <c r="AO185" s="307">
        <v>27060</v>
      </c>
      <c r="AP185" s="307">
        <v>27340</v>
      </c>
      <c r="AQ185" s="307">
        <v>26720</v>
      </c>
      <c r="AR185" s="307">
        <v>26030</v>
      </c>
      <c r="AS185" s="307">
        <v>25890</v>
      </c>
      <c r="AT185" s="307">
        <v>26060</v>
      </c>
      <c r="AU185" s="307">
        <v>26370</v>
      </c>
      <c r="AV185" s="307">
        <v>26870</v>
      </c>
      <c r="AW185" s="307">
        <v>26750</v>
      </c>
      <c r="AX185" s="307">
        <v>27650</v>
      </c>
      <c r="AY185" s="307">
        <v>27290</v>
      </c>
      <c r="AZ185" s="307">
        <v>26240</v>
      </c>
      <c r="BA185" s="307">
        <v>25380</v>
      </c>
      <c r="BB185" s="307">
        <v>24500</v>
      </c>
      <c r="BC185" s="307">
        <v>23540</v>
      </c>
      <c r="BD185" s="307">
        <v>23650</v>
      </c>
      <c r="BE185" s="307">
        <v>23540</v>
      </c>
      <c r="BF185" s="307">
        <v>24510</v>
      </c>
    </row>
    <row r="186" spans="1:58" x14ac:dyDescent="0.2">
      <c r="A186" s="308" t="s">
        <v>88</v>
      </c>
      <c r="B186" s="305"/>
      <c r="C186" s="307">
        <v>8030</v>
      </c>
      <c r="D186" s="307">
        <v>8310</v>
      </c>
      <c r="E186" s="307">
        <v>8630</v>
      </c>
      <c r="F186" s="307">
        <v>8560</v>
      </c>
      <c r="G186" s="307">
        <v>8530</v>
      </c>
      <c r="H186" s="307">
        <v>8740</v>
      </c>
      <c r="I186" s="307">
        <v>8720</v>
      </c>
      <c r="J186" s="307">
        <v>9060</v>
      </c>
      <c r="K186" s="307">
        <v>9170</v>
      </c>
      <c r="L186" s="307">
        <v>8870</v>
      </c>
      <c r="M186" s="307">
        <v>9010</v>
      </c>
      <c r="N186" s="307">
        <v>8990</v>
      </c>
      <c r="O186" s="307">
        <v>9080</v>
      </c>
      <c r="P186" s="307">
        <v>9600</v>
      </c>
      <c r="Q186" s="307">
        <v>10140</v>
      </c>
      <c r="R186" s="307">
        <v>10540</v>
      </c>
      <c r="S186" s="307">
        <v>11090</v>
      </c>
      <c r="T186" s="307">
        <v>11970</v>
      </c>
      <c r="U186" s="307">
        <v>13090</v>
      </c>
      <c r="V186" s="307">
        <v>13380</v>
      </c>
      <c r="W186" s="307">
        <v>12080</v>
      </c>
      <c r="X186" s="307">
        <v>13440</v>
      </c>
      <c r="Y186" s="307">
        <v>14240</v>
      </c>
      <c r="Z186" s="307">
        <v>15120</v>
      </c>
      <c r="AA186" s="307">
        <v>17960</v>
      </c>
      <c r="AB186" s="307">
        <v>17980</v>
      </c>
      <c r="AC186" s="307">
        <v>17710</v>
      </c>
      <c r="AD186" s="307">
        <v>18410</v>
      </c>
      <c r="AE186" s="307">
        <v>18440</v>
      </c>
      <c r="AF186" s="307">
        <v>18820</v>
      </c>
      <c r="AG186" s="307">
        <v>19260</v>
      </c>
      <c r="AH186" s="307">
        <v>20130</v>
      </c>
      <c r="AI186" s="307">
        <v>20780</v>
      </c>
      <c r="AJ186" s="307">
        <v>21610</v>
      </c>
      <c r="AK186" s="307">
        <v>22190</v>
      </c>
      <c r="AL186" s="307">
        <v>22790</v>
      </c>
      <c r="AM186" s="307">
        <v>23920</v>
      </c>
      <c r="AN186" s="307">
        <v>24400</v>
      </c>
      <c r="AO186" s="307">
        <v>25680</v>
      </c>
      <c r="AP186" s="307">
        <v>26260</v>
      </c>
      <c r="AQ186" s="307">
        <v>26540</v>
      </c>
      <c r="AR186" s="307">
        <v>25960</v>
      </c>
      <c r="AS186" s="307">
        <v>25300</v>
      </c>
      <c r="AT186" s="307">
        <v>25180</v>
      </c>
      <c r="AU186" s="307">
        <v>25360</v>
      </c>
      <c r="AV186" s="307">
        <v>25670</v>
      </c>
      <c r="AW186" s="307">
        <v>26170</v>
      </c>
      <c r="AX186" s="307">
        <v>26060</v>
      </c>
      <c r="AY186" s="307">
        <v>26950</v>
      </c>
      <c r="AZ186" s="307">
        <v>26610</v>
      </c>
      <c r="BA186" s="307">
        <v>25600</v>
      </c>
      <c r="BB186" s="307">
        <v>24770</v>
      </c>
      <c r="BC186" s="307">
        <v>23920</v>
      </c>
      <c r="BD186" s="307">
        <v>22990</v>
      </c>
      <c r="BE186" s="307">
        <v>23110</v>
      </c>
      <c r="BF186" s="307">
        <v>23010</v>
      </c>
    </row>
    <row r="187" spans="1:58" x14ac:dyDescent="0.2">
      <c r="A187" s="308" t="s">
        <v>89</v>
      </c>
      <c r="B187" s="305"/>
      <c r="C187" s="307">
        <v>7700</v>
      </c>
      <c r="D187" s="307">
        <v>7520</v>
      </c>
      <c r="E187" s="307">
        <v>7800</v>
      </c>
      <c r="F187" s="307">
        <v>8130</v>
      </c>
      <c r="G187" s="307">
        <v>8060</v>
      </c>
      <c r="H187" s="307">
        <v>8030</v>
      </c>
      <c r="I187" s="307">
        <v>8210</v>
      </c>
      <c r="J187" s="307">
        <v>8200</v>
      </c>
      <c r="K187" s="307">
        <v>8530</v>
      </c>
      <c r="L187" s="307">
        <v>8640</v>
      </c>
      <c r="M187" s="307">
        <v>8370</v>
      </c>
      <c r="N187" s="307">
        <v>8510</v>
      </c>
      <c r="O187" s="307">
        <v>8500</v>
      </c>
      <c r="P187" s="307">
        <v>8590</v>
      </c>
      <c r="Q187" s="307">
        <v>9090</v>
      </c>
      <c r="R187" s="307">
        <v>9610</v>
      </c>
      <c r="S187" s="307">
        <v>9990</v>
      </c>
      <c r="T187" s="307">
        <v>10520</v>
      </c>
      <c r="U187" s="307">
        <v>11370</v>
      </c>
      <c r="V187" s="307">
        <v>12440</v>
      </c>
      <c r="W187" s="307">
        <v>12730</v>
      </c>
      <c r="X187" s="307">
        <v>11500</v>
      </c>
      <c r="Y187" s="307">
        <v>12810</v>
      </c>
      <c r="Z187" s="307">
        <v>13590</v>
      </c>
      <c r="AA187" s="307">
        <v>14440</v>
      </c>
      <c r="AB187" s="307">
        <v>17160</v>
      </c>
      <c r="AC187" s="307">
        <v>17190</v>
      </c>
      <c r="AD187" s="307">
        <v>16940</v>
      </c>
      <c r="AE187" s="307">
        <v>17620</v>
      </c>
      <c r="AF187" s="307">
        <v>17670</v>
      </c>
      <c r="AG187" s="307">
        <v>18040</v>
      </c>
      <c r="AH187" s="307">
        <v>18480</v>
      </c>
      <c r="AI187" s="307">
        <v>19330</v>
      </c>
      <c r="AJ187" s="307">
        <v>19970</v>
      </c>
      <c r="AK187" s="307">
        <v>20770</v>
      </c>
      <c r="AL187" s="307">
        <v>21340</v>
      </c>
      <c r="AM187" s="307">
        <v>21930</v>
      </c>
      <c r="AN187" s="307">
        <v>23040</v>
      </c>
      <c r="AO187" s="307">
        <v>23510</v>
      </c>
      <c r="AP187" s="307">
        <v>24770</v>
      </c>
      <c r="AQ187" s="307">
        <v>25330</v>
      </c>
      <c r="AR187" s="307">
        <v>25620</v>
      </c>
      <c r="AS187" s="307">
        <v>25080</v>
      </c>
      <c r="AT187" s="307">
        <v>24450</v>
      </c>
      <c r="AU187" s="307">
        <v>24350</v>
      </c>
      <c r="AV187" s="307">
        <v>24540</v>
      </c>
      <c r="AW187" s="307">
        <v>24850</v>
      </c>
      <c r="AX187" s="307">
        <v>25350</v>
      </c>
      <c r="AY187" s="307">
        <v>25250</v>
      </c>
      <c r="AZ187" s="307">
        <v>26130</v>
      </c>
      <c r="BA187" s="307">
        <v>25820</v>
      </c>
      <c r="BB187" s="307">
        <v>24850</v>
      </c>
      <c r="BC187" s="307">
        <v>24050</v>
      </c>
      <c r="BD187" s="307">
        <v>23240</v>
      </c>
      <c r="BE187" s="307">
        <v>22350</v>
      </c>
      <c r="BF187" s="307">
        <v>22470</v>
      </c>
    </row>
    <row r="188" spans="1:58" x14ac:dyDescent="0.2">
      <c r="A188" s="308" t="s">
        <v>90</v>
      </c>
      <c r="B188" s="305"/>
      <c r="C188" s="307">
        <v>6940</v>
      </c>
      <c r="D188" s="307">
        <v>7150</v>
      </c>
      <c r="E188" s="307">
        <v>7020</v>
      </c>
      <c r="F188" s="307">
        <v>7280</v>
      </c>
      <c r="G188" s="307">
        <v>7600</v>
      </c>
      <c r="H188" s="307">
        <v>7490</v>
      </c>
      <c r="I188" s="307">
        <v>7470</v>
      </c>
      <c r="J188" s="307">
        <v>7650</v>
      </c>
      <c r="K188" s="307">
        <v>7640</v>
      </c>
      <c r="L188" s="307">
        <v>7960</v>
      </c>
      <c r="M188" s="307">
        <v>8080</v>
      </c>
      <c r="N188" s="307">
        <v>7830</v>
      </c>
      <c r="O188" s="307">
        <v>7970</v>
      </c>
      <c r="P188" s="307">
        <v>7970</v>
      </c>
      <c r="Q188" s="307">
        <v>8060</v>
      </c>
      <c r="R188" s="307">
        <v>8540</v>
      </c>
      <c r="S188" s="307">
        <v>9040</v>
      </c>
      <c r="T188" s="307">
        <v>9400</v>
      </c>
      <c r="U188" s="307">
        <v>9910</v>
      </c>
      <c r="V188" s="307">
        <v>10720</v>
      </c>
      <c r="W188" s="307">
        <v>11740</v>
      </c>
      <c r="X188" s="307">
        <v>12020</v>
      </c>
      <c r="Y188" s="307">
        <v>10870</v>
      </c>
      <c r="Z188" s="307">
        <v>12120</v>
      </c>
      <c r="AA188" s="307">
        <v>12860</v>
      </c>
      <c r="AB188" s="307">
        <v>13680</v>
      </c>
      <c r="AC188" s="307">
        <v>16270</v>
      </c>
      <c r="AD188" s="307">
        <v>16310</v>
      </c>
      <c r="AE188" s="307">
        <v>16090</v>
      </c>
      <c r="AF188" s="307">
        <v>16750</v>
      </c>
      <c r="AG188" s="307">
        <v>16800</v>
      </c>
      <c r="AH188" s="307">
        <v>17170</v>
      </c>
      <c r="AI188" s="307">
        <v>17600</v>
      </c>
      <c r="AJ188" s="307">
        <v>18420</v>
      </c>
      <c r="AK188" s="307">
        <v>19040</v>
      </c>
      <c r="AL188" s="307">
        <v>19830</v>
      </c>
      <c r="AM188" s="307">
        <v>20390</v>
      </c>
      <c r="AN188" s="307">
        <v>20960</v>
      </c>
      <c r="AO188" s="307">
        <v>22040</v>
      </c>
      <c r="AP188" s="307">
        <v>22510</v>
      </c>
      <c r="AQ188" s="307">
        <v>23720</v>
      </c>
      <c r="AR188" s="307">
        <v>24280</v>
      </c>
      <c r="AS188" s="307">
        <v>24570</v>
      </c>
      <c r="AT188" s="307">
        <v>24060</v>
      </c>
      <c r="AU188" s="307">
        <v>23480</v>
      </c>
      <c r="AV188" s="307">
        <v>23390</v>
      </c>
      <c r="AW188" s="307">
        <v>23590</v>
      </c>
      <c r="AX188" s="307">
        <v>23900</v>
      </c>
      <c r="AY188" s="307">
        <v>24390</v>
      </c>
      <c r="AZ188" s="307">
        <v>24320</v>
      </c>
      <c r="BA188" s="307">
        <v>25180</v>
      </c>
      <c r="BB188" s="307">
        <v>24890</v>
      </c>
      <c r="BC188" s="307">
        <v>23970</v>
      </c>
      <c r="BD188" s="307">
        <v>23220</v>
      </c>
      <c r="BE188" s="307">
        <v>22440</v>
      </c>
      <c r="BF188" s="307">
        <v>21600</v>
      </c>
    </row>
    <row r="189" spans="1:58" x14ac:dyDescent="0.2">
      <c r="A189" s="308" t="s">
        <v>91</v>
      </c>
      <c r="B189" s="305"/>
      <c r="C189" s="307">
        <v>6240</v>
      </c>
      <c r="D189" s="307">
        <v>6400</v>
      </c>
      <c r="E189" s="307">
        <v>6580</v>
      </c>
      <c r="F189" s="307">
        <v>6460</v>
      </c>
      <c r="G189" s="307">
        <v>6710</v>
      </c>
      <c r="H189" s="307">
        <v>7050</v>
      </c>
      <c r="I189" s="307">
        <v>6890</v>
      </c>
      <c r="J189" s="307">
        <v>6890</v>
      </c>
      <c r="K189" s="307">
        <v>7050</v>
      </c>
      <c r="L189" s="307">
        <v>7060</v>
      </c>
      <c r="M189" s="307">
        <v>7360</v>
      </c>
      <c r="N189" s="307">
        <v>7480</v>
      </c>
      <c r="O189" s="307">
        <v>7250</v>
      </c>
      <c r="P189" s="307">
        <v>7390</v>
      </c>
      <c r="Q189" s="307">
        <v>7400</v>
      </c>
      <c r="R189" s="307">
        <v>7490</v>
      </c>
      <c r="S189" s="307">
        <v>7940</v>
      </c>
      <c r="T189" s="307">
        <v>8420</v>
      </c>
      <c r="U189" s="307">
        <v>8770</v>
      </c>
      <c r="V189" s="307">
        <v>9250</v>
      </c>
      <c r="W189" s="307">
        <v>10010</v>
      </c>
      <c r="X189" s="307">
        <v>10980</v>
      </c>
      <c r="Y189" s="307">
        <v>11250</v>
      </c>
      <c r="Z189" s="307">
        <v>10180</v>
      </c>
      <c r="AA189" s="307">
        <v>11360</v>
      </c>
      <c r="AB189" s="307">
        <v>12070</v>
      </c>
      <c r="AC189" s="307">
        <v>12840</v>
      </c>
      <c r="AD189" s="307">
        <v>15290</v>
      </c>
      <c r="AE189" s="307">
        <v>15340</v>
      </c>
      <c r="AF189" s="307">
        <v>15150</v>
      </c>
      <c r="AG189" s="307">
        <v>15780</v>
      </c>
      <c r="AH189" s="307">
        <v>15840</v>
      </c>
      <c r="AI189" s="307">
        <v>16200</v>
      </c>
      <c r="AJ189" s="307">
        <v>16620</v>
      </c>
      <c r="AK189" s="307">
        <v>17410</v>
      </c>
      <c r="AL189" s="307">
        <v>18010</v>
      </c>
      <c r="AM189" s="307">
        <v>18770</v>
      </c>
      <c r="AN189" s="307">
        <v>19310</v>
      </c>
      <c r="AO189" s="307">
        <v>19880</v>
      </c>
      <c r="AP189" s="307">
        <v>20910</v>
      </c>
      <c r="AQ189" s="307">
        <v>21370</v>
      </c>
      <c r="AR189" s="307">
        <v>22540</v>
      </c>
      <c r="AS189" s="307">
        <v>23080</v>
      </c>
      <c r="AT189" s="307">
        <v>23380</v>
      </c>
      <c r="AU189" s="307">
        <v>22910</v>
      </c>
      <c r="AV189" s="307">
        <v>22370</v>
      </c>
      <c r="AW189" s="307">
        <v>22300</v>
      </c>
      <c r="AX189" s="307">
        <v>22500</v>
      </c>
      <c r="AY189" s="307">
        <v>22820</v>
      </c>
      <c r="AZ189" s="307">
        <v>23300</v>
      </c>
      <c r="BA189" s="307">
        <v>23240</v>
      </c>
      <c r="BB189" s="307">
        <v>24080</v>
      </c>
      <c r="BC189" s="307">
        <v>23820</v>
      </c>
      <c r="BD189" s="307">
        <v>22950</v>
      </c>
      <c r="BE189" s="307">
        <v>22240</v>
      </c>
      <c r="BF189" s="307">
        <v>21520</v>
      </c>
    </row>
    <row r="190" spans="1:58" x14ac:dyDescent="0.2">
      <c r="A190" s="308" t="s">
        <v>92</v>
      </c>
      <c r="B190" s="305"/>
      <c r="C190" s="307">
        <v>4700</v>
      </c>
      <c r="D190" s="307">
        <v>5650</v>
      </c>
      <c r="E190" s="307">
        <v>5770</v>
      </c>
      <c r="F190" s="307">
        <v>5960</v>
      </c>
      <c r="G190" s="307">
        <v>5900</v>
      </c>
      <c r="H190" s="307">
        <v>6120</v>
      </c>
      <c r="I190" s="307">
        <v>6410</v>
      </c>
      <c r="J190" s="307">
        <v>6280</v>
      </c>
      <c r="K190" s="307">
        <v>6280</v>
      </c>
      <c r="L190" s="307">
        <v>6440</v>
      </c>
      <c r="M190" s="307">
        <v>6450</v>
      </c>
      <c r="N190" s="307">
        <v>6740</v>
      </c>
      <c r="O190" s="307">
        <v>6850</v>
      </c>
      <c r="P190" s="307">
        <v>6650</v>
      </c>
      <c r="Q190" s="307">
        <v>6780</v>
      </c>
      <c r="R190" s="307">
        <v>6800</v>
      </c>
      <c r="S190" s="307">
        <v>6890</v>
      </c>
      <c r="T190" s="307">
        <v>7310</v>
      </c>
      <c r="U190" s="307">
        <v>7760</v>
      </c>
      <c r="V190" s="307">
        <v>8090</v>
      </c>
      <c r="W190" s="307">
        <v>8540</v>
      </c>
      <c r="X190" s="307">
        <v>9260</v>
      </c>
      <c r="Y190" s="307">
        <v>10160</v>
      </c>
      <c r="Z190" s="307">
        <v>10420</v>
      </c>
      <c r="AA190" s="307">
        <v>9440</v>
      </c>
      <c r="AB190" s="307">
        <v>10540</v>
      </c>
      <c r="AC190" s="307">
        <v>11210</v>
      </c>
      <c r="AD190" s="307">
        <v>11940</v>
      </c>
      <c r="AE190" s="307">
        <v>14230</v>
      </c>
      <c r="AF190" s="307">
        <v>14290</v>
      </c>
      <c r="AG190" s="307">
        <v>14120</v>
      </c>
      <c r="AH190" s="307">
        <v>14720</v>
      </c>
      <c r="AI190" s="307">
        <v>14790</v>
      </c>
      <c r="AJ190" s="307">
        <v>15140</v>
      </c>
      <c r="AK190" s="307">
        <v>15550</v>
      </c>
      <c r="AL190" s="307">
        <v>16300</v>
      </c>
      <c r="AM190" s="307">
        <v>16880</v>
      </c>
      <c r="AN190" s="307">
        <v>17600</v>
      </c>
      <c r="AO190" s="307">
        <v>18120</v>
      </c>
      <c r="AP190" s="307">
        <v>18670</v>
      </c>
      <c r="AQ190" s="307">
        <v>19650</v>
      </c>
      <c r="AR190" s="307">
        <v>20100</v>
      </c>
      <c r="AS190" s="307">
        <v>21210</v>
      </c>
      <c r="AT190" s="307">
        <v>21750</v>
      </c>
      <c r="AU190" s="307">
        <v>22040</v>
      </c>
      <c r="AV190" s="307">
        <v>21610</v>
      </c>
      <c r="AW190" s="307">
        <v>21120</v>
      </c>
      <c r="AX190" s="307">
        <v>21070</v>
      </c>
      <c r="AY190" s="307">
        <v>21270</v>
      </c>
      <c r="AZ190" s="307">
        <v>21590</v>
      </c>
      <c r="BA190" s="307">
        <v>22060</v>
      </c>
      <c r="BB190" s="307">
        <v>22020</v>
      </c>
      <c r="BC190" s="307">
        <v>22830</v>
      </c>
      <c r="BD190" s="307">
        <v>22600</v>
      </c>
      <c r="BE190" s="307">
        <v>21790</v>
      </c>
      <c r="BF190" s="307">
        <v>21130</v>
      </c>
    </row>
    <row r="191" spans="1:58" x14ac:dyDescent="0.2">
      <c r="A191" s="308" t="s">
        <v>93</v>
      </c>
      <c r="B191" s="305"/>
      <c r="C191" s="307">
        <v>4260</v>
      </c>
      <c r="D191" s="307">
        <v>4230</v>
      </c>
      <c r="E191" s="307">
        <v>5020</v>
      </c>
      <c r="F191" s="307">
        <v>5210</v>
      </c>
      <c r="G191" s="307">
        <v>5350</v>
      </c>
      <c r="H191" s="307">
        <v>5310</v>
      </c>
      <c r="I191" s="307">
        <v>5500</v>
      </c>
      <c r="J191" s="307">
        <v>5760</v>
      </c>
      <c r="K191" s="307">
        <v>5650</v>
      </c>
      <c r="L191" s="307">
        <v>5660</v>
      </c>
      <c r="M191" s="307">
        <v>5810</v>
      </c>
      <c r="N191" s="307">
        <v>5830</v>
      </c>
      <c r="O191" s="307">
        <v>6090</v>
      </c>
      <c r="P191" s="307">
        <v>6200</v>
      </c>
      <c r="Q191" s="307">
        <v>6030</v>
      </c>
      <c r="R191" s="307">
        <v>6150</v>
      </c>
      <c r="S191" s="307">
        <v>6170</v>
      </c>
      <c r="T191" s="307">
        <v>6260</v>
      </c>
      <c r="U191" s="307">
        <v>6660</v>
      </c>
      <c r="V191" s="307">
        <v>7070</v>
      </c>
      <c r="W191" s="307">
        <v>7380</v>
      </c>
      <c r="X191" s="307">
        <v>7800</v>
      </c>
      <c r="Y191" s="307">
        <v>8460</v>
      </c>
      <c r="Z191" s="307">
        <v>9290</v>
      </c>
      <c r="AA191" s="307">
        <v>9540</v>
      </c>
      <c r="AB191" s="307">
        <v>8650</v>
      </c>
      <c r="AC191" s="307">
        <v>9670</v>
      </c>
      <c r="AD191" s="307">
        <v>10290</v>
      </c>
      <c r="AE191" s="307">
        <v>10980</v>
      </c>
      <c r="AF191" s="307">
        <v>13090</v>
      </c>
      <c r="AG191" s="307">
        <v>13160</v>
      </c>
      <c r="AH191" s="307">
        <v>13020</v>
      </c>
      <c r="AI191" s="307">
        <v>13580</v>
      </c>
      <c r="AJ191" s="307">
        <v>13660</v>
      </c>
      <c r="AK191" s="307">
        <v>14000</v>
      </c>
      <c r="AL191" s="307">
        <v>14380</v>
      </c>
      <c r="AM191" s="307">
        <v>15090</v>
      </c>
      <c r="AN191" s="307">
        <v>15640</v>
      </c>
      <c r="AO191" s="307">
        <v>16320</v>
      </c>
      <c r="AP191" s="307">
        <v>16830</v>
      </c>
      <c r="AQ191" s="307">
        <v>17340</v>
      </c>
      <c r="AR191" s="307">
        <v>18270</v>
      </c>
      <c r="AS191" s="307">
        <v>18700</v>
      </c>
      <c r="AT191" s="307">
        <v>19760</v>
      </c>
      <c r="AU191" s="307">
        <v>20270</v>
      </c>
      <c r="AV191" s="307">
        <v>20560</v>
      </c>
      <c r="AW191" s="307">
        <v>20180</v>
      </c>
      <c r="AX191" s="307">
        <v>19730</v>
      </c>
      <c r="AY191" s="307">
        <v>19700</v>
      </c>
      <c r="AZ191" s="307">
        <v>19910</v>
      </c>
      <c r="BA191" s="307">
        <v>20210</v>
      </c>
      <c r="BB191" s="307">
        <v>20670</v>
      </c>
      <c r="BC191" s="307">
        <v>20650</v>
      </c>
      <c r="BD191" s="307">
        <v>21420</v>
      </c>
      <c r="BE191" s="307">
        <v>21220</v>
      </c>
      <c r="BF191" s="307">
        <v>20470</v>
      </c>
    </row>
    <row r="192" spans="1:58" x14ac:dyDescent="0.2">
      <c r="A192" s="308" t="s">
        <v>94</v>
      </c>
      <c r="B192" s="305"/>
      <c r="C192" s="307">
        <v>3770</v>
      </c>
      <c r="D192" s="307">
        <v>3750</v>
      </c>
      <c r="E192" s="307">
        <v>3750</v>
      </c>
      <c r="F192" s="307">
        <v>4440</v>
      </c>
      <c r="G192" s="307">
        <v>4610</v>
      </c>
      <c r="H192" s="307">
        <v>4750</v>
      </c>
      <c r="I192" s="307">
        <v>4700</v>
      </c>
      <c r="J192" s="307">
        <v>4870</v>
      </c>
      <c r="K192" s="307">
        <v>5110</v>
      </c>
      <c r="L192" s="307">
        <v>5020</v>
      </c>
      <c r="M192" s="307">
        <v>5030</v>
      </c>
      <c r="N192" s="307">
        <v>5170</v>
      </c>
      <c r="O192" s="307">
        <v>5190</v>
      </c>
      <c r="P192" s="307">
        <v>5440</v>
      </c>
      <c r="Q192" s="307">
        <v>5540</v>
      </c>
      <c r="R192" s="307">
        <v>5390</v>
      </c>
      <c r="S192" s="307">
        <v>5510</v>
      </c>
      <c r="T192" s="307">
        <v>5530</v>
      </c>
      <c r="U192" s="307">
        <v>5620</v>
      </c>
      <c r="V192" s="307">
        <v>5980</v>
      </c>
      <c r="W192" s="307">
        <v>6360</v>
      </c>
      <c r="X192" s="307">
        <v>6640</v>
      </c>
      <c r="Y192" s="307">
        <v>7030</v>
      </c>
      <c r="Z192" s="307">
        <v>7630</v>
      </c>
      <c r="AA192" s="307">
        <v>8390</v>
      </c>
      <c r="AB192" s="307">
        <v>8630</v>
      </c>
      <c r="AC192" s="307">
        <v>7830</v>
      </c>
      <c r="AD192" s="307">
        <v>8760</v>
      </c>
      <c r="AE192" s="307">
        <v>9340</v>
      </c>
      <c r="AF192" s="307">
        <v>9970</v>
      </c>
      <c r="AG192" s="307">
        <v>11900</v>
      </c>
      <c r="AH192" s="307">
        <v>11970</v>
      </c>
      <c r="AI192" s="307">
        <v>11850</v>
      </c>
      <c r="AJ192" s="307">
        <v>12380</v>
      </c>
      <c r="AK192" s="307">
        <v>12460</v>
      </c>
      <c r="AL192" s="307">
        <v>12780</v>
      </c>
      <c r="AM192" s="307">
        <v>13140</v>
      </c>
      <c r="AN192" s="307">
        <v>13810</v>
      </c>
      <c r="AO192" s="307">
        <v>14320</v>
      </c>
      <c r="AP192" s="307">
        <v>14960</v>
      </c>
      <c r="AQ192" s="307">
        <v>15430</v>
      </c>
      <c r="AR192" s="307">
        <v>15920</v>
      </c>
      <c r="AS192" s="307">
        <v>16790</v>
      </c>
      <c r="AT192" s="307">
        <v>17200</v>
      </c>
      <c r="AU192" s="307">
        <v>18180</v>
      </c>
      <c r="AV192" s="307">
        <v>18670</v>
      </c>
      <c r="AW192" s="307">
        <v>18950</v>
      </c>
      <c r="AX192" s="307">
        <v>18620</v>
      </c>
      <c r="AY192" s="307">
        <v>18220</v>
      </c>
      <c r="AZ192" s="307">
        <v>18200</v>
      </c>
      <c r="BA192" s="307">
        <v>18410</v>
      </c>
      <c r="BB192" s="307">
        <v>18710</v>
      </c>
      <c r="BC192" s="307">
        <v>19150</v>
      </c>
      <c r="BD192" s="307">
        <v>19150</v>
      </c>
      <c r="BE192" s="307">
        <v>19880</v>
      </c>
      <c r="BF192" s="307">
        <v>19700</v>
      </c>
    </row>
    <row r="193" spans="1:58" x14ac:dyDescent="0.2">
      <c r="A193" s="308" t="s">
        <v>95</v>
      </c>
      <c r="B193" s="305"/>
      <c r="C193" s="307">
        <v>14040</v>
      </c>
      <c r="D193" s="307">
        <v>14350</v>
      </c>
      <c r="E193" s="307">
        <v>14770</v>
      </c>
      <c r="F193" s="307">
        <v>15000</v>
      </c>
      <c r="G193" s="307">
        <v>16010</v>
      </c>
      <c r="H193" s="307">
        <v>16870</v>
      </c>
      <c r="I193" s="307">
        <v>17810</v>
      </c>
      <c r="J193" s="307">
        <v>18570</v>
      </c>
      <c r="K193" s="307">
        <v>19340</v>
      </c>
      <c r="L193" s="307">
        <v>20200</v>
      </c>
      <c r="M193" s="307">
        <v>20830</v>
      </c>
      <c r="N193" s="307">
        <v>21370</v>
      </c>
      <c r="O193" s="307">
        <v>21940</v>
      </c>
      <c r="P193" s="307">
        <v>22440</v>
      </c>
      <c r="Q193" s="307">
        <v>23080</v>
      </c>
      <c r="R193" s="307">
        <v>23710</v>
      </c>
      <c r="S193" s="307">
        <v>24120</v>
      </c>
      <c r="T193" s="307">
        <v>24580</v>
      </c>
      <c r="U193" s="307">
        <v>24990</v>
      </c>
      <c r="V193" s="307">
        <v>25430</v>
      </c>
      <c r="W193" s="307">
        <v>26130</v>
      </c>
      <c r="X193" s="307">
        <v>27080</v>
      </c>
      <c r="Y193" s="307">
        <v>28160</v>
      </c>
      <c r="Z193" s="307">
        <v>29450</v>
      </c>
      <c r="AA193" s="307">
        <v>31100</v>
      </c>
      <c r="AB193" s="307">
        <v>33210</v>
      </c>
      <c r="AC193" s="307">
        <v>35240</v>
      </c>
      <c r="AD193" s="307">
        <v>36280</v>
      </c>
      <c r="AE193" s="307">
        <v>37980</v>
      </c>
      <c r="AF193" s="307">
        <v>39940</v>
      </c>
      <c r="AG193" s="307">
        <v>42190</v>
      </c>
      <c r="AH193" s="307">
        <v>45850</v>
      </c>
      <c r="AI193" s="307">
        <v>49090</v>
      </c>
      <c r="AJ193" s="307">
        <v>51770</v>
      </c>
      <c r="AK193" s="307">
        <v>54520</v>
      </c>
      <c r="AL193" s="307">
        <v>56940</v>
      </c>
      <c r="AM193" s="307">
        <v>59270</v>
      </c>
      <c r="AN193" s="307">
        <v>61570</v>
      </c>
      <c r="AO193" s="307">
        <v>64130</v>
      </c>
      <c r="AP193" s="307">
        <v>66790</v>
      </c>
      <c r="AQ193" s="307">
        <v>69660</v>
      </c>
      <c r="AR193" s="307">
        <v>72560</v>
      </c>
      <c r="AS193" s="307">
        <v>75500</v>
      </c>
      <c r="AT193" s="307">
        <v>78820</v>
      </c>
      <c r="AU193" s="307">
        <v>82090</v>
      </c>
      <c r="AV193" s="307">
        <v>85820</v>
      </c>
      <c r="AW193" s="307">
        <v>89510</v>
      </c>
      <c r="AX193" s="307">
        <v>92980</v>
      </c>
      <c r="AY193" s="307">
        <v>95680</v>
      </c>
      <c r="AZ193" s="307">
        <v>97630</v>
      </c>
      <c r="BA193" s="307">
        <v>99280</v>
      </c>
      <c r="BB193" s="307">
        <v>100860</v>
      </c>
      <c r="BC193" s="307">
        <v>102490</v>
      </c>
      <c r="BD193" s="307">
        <v>104310</v>
      </c>
      <c r="BE193" s="307">
        <v>105920</v>
      </c>
      <c r="BF193" s="307">
        <v>108010</v>
      </c>
    </row>
    <row r="194" spans="1:58" x14ac:dyDescent="0.2">
      <c r="A194" s="304" t="s">
        <v>98</v>
      </c>
      <c r="B194" s="305"/>
      <c r="C194" s="306">
        <f t="shared" ref="C194:BF194" si="3">SUM(C$103:C$193)/1000000</f>
        <v>2.13625</v>
      </c>
      <c r="D194" s="306">
        <f t="shared" si="3"/>
        <v>2.1575799999999998</v>
      </c>
      <c r="E194" s="306">
        <f t="shared" si="3"/>
        <v>2.1766999999999999</v>
      </c>
      <c r="F194" s="306">
        <f t="shared" si="3"/>
        <v>2.1983000000000001</v>
      </c>
      <c r="G194" s="306">
        <f t="shared" si="3"/>
        <v>2.22322</v>
      </c>
      <c r="H194" s="306">
        <f t="shared" si="3"/>
        <v>2.2405400000000002</v>
      </c>
      <c r="I194" s="306">
        <f t="shared" si="3"/>
        <v>2.2538800000000001</v>
      </c>
      <c r="J194" s="306">
        <f t="shared" si="3"/>
        <v>2.2685599999999999</v>
      </c>
      <c r="K194" s="306">
        <f t="shared" si="3"/>
        <v>2.28653</v>
      </c>
      <c r="L194" s="306">
        <f t="shared" si="3"/>
        <v>2.3070599999999999</v>
      </c>
      <c r="M194" s="306">
        <f t="shared" si="3"/>
        <v>2.3275600000000001</v>
      </c>
      <c r="N194" s="306">
        <f t="shared" si="3"/>
        <v>2.3481700000000001</v>
      </c>
      <c r="O194" s="306">
        <f t="shared" si="3"/>
        <v>2.3689</v>
      </c>
      <c r="P194" s="306">
        <f t="shared" si="3"/>
        <v>2.3895900000000001</v>
      </c>
      <c r="Q194" s="306">
        <f t="shared" si="3"/>
        <v>2.4103500000000002</v>
      </c>
      <c r="R194" s="306">
        <f t="shared" si="3"/>
        <v>2.4310200000000002</v>
      </c>
      <c r="S194" s="306">
        <f t="shared" si="3"/>
        <v>2.45166</v>
      </c>
      <c r="T194" s="306">
        <f t="shared" si="3"/>
        <v>2.4721600000000001</v>
      </c>
      <c r="U194" s="306">
        <f t="shared" si="3"/>
        <v>2.49254</v>
      </c>
      <c r="V194" s="306">
        <f t="shared" si="3"/>
        <v>2.51267</v>
      </c>
      <c r="W194" s="306">
        <f t="shared" si="3"/>
        <v>2.5325700000000002</v>
      </c>
      <c r="X194" s="306">
        <f t="shared" si="3"/>
        <v>2.5520900000000002</v>
      </c>
      <c r="Y194" s="306">
        <f t="shared" si="3"/>
        <v>2.5712700000000002</v>
      </c>
      <c r="Z194" s="306">
        <f t="shared" si="3"/>
        <v>2.5899700000000001</v>
      </c>
      <c r="AA194" s="306">
        <f t="shared" si="3"/>
        <v>2.6083699999999999</v>
      </c>
      <c r="AB194" s="306">
        <f t="shared" si="3"/>
        <v>2.62615</v>
      </c>
      <c r="AC194" s="306">
        <f t="shared" si="3"/>
        <v>2.6434799999999998</v>
      </c>
      <c r="AD194" s="306">
        <f t="shared" si="3"/>
        <v>2.6602600000000001</v>
      </c>
      <c r="AE194" s="306">
        <f t="shared" si="3"/>
        <v>2.67672</v>
      </c>
      <c r="AF194" s="306">
        <f t="shared" si="3"/>
        <v>2.6925300000000001</v>
      </c>
      <c r="AG194" s="306">
        <f t="shared" si="3"/>
        <v>2.7079900000000001</v>
      </c>
      <c r="AH194" s="306">
        <f t="shared" si="3"/>
        <v>2.7230599999999998</v>
      </c>
      <c r="AI194" s="306">
        <f t="shared" si="3"/>
        <v>2.73766</v>
      </c>
      <c r="AJ194" s="306">
        <f t="shared" si="3"/>
        <v>2.7519</v>
      </c>
      <c r="AK194" s="306">
        <f t="shared" si="3"/>
        <v>2.7657799999999999</v>
      </c>
      <c r="AL194" s="306">
        <f t="shared" si="3"/>
        <v>2.7793100000000002</v>
      </c>
      <c r="AM194" s="306">
        <f t="shared" si="3"/>
        <v>2.7924500000000001</v>
      </c>
      <c r="AN194" s="306">
        <f t="shared" si="3"/>
        <v>2.8052899999999998</v>
      </c>
      <c r="AO194" s="306">
        <f t="shared" si="3"/>
        <v>2.8176800000000002</v>
      </c>
      <c r="AP194" s="306">
        <f t="shared" si="3"/>
        <v>2.8298199999999998</v>
      </c>
      <c r="AQ194" s="306">
        <f t="shared" si="3"/>
        <v>2.8415300000000001</v>
      </c>
      <c r="AR194" s="306">
        <f t="shared" si="3"/>
        <v>2.8529900000000001</v>
      </c>
      <c r="AS194" s="306">
        <f t="shared" si="3"/>
        <v>2.8639600000000001</v>
      </c>
      <c r="AT194" s="306">
        <f t="shared" si="3"/>
        <v>2.8748100000000001</v>
      </c>
      <c r="AU194" s="306">
        <f t="shared" si="3"/>
        <v>2.8852699999999998</v>
      </c>
      <c r="AV194" s="306">
        <f t="shared" si="3"/>
        <v>2.8954599999999999</v>
      </c>
      <c r="AW194" s="306">
        <f t="shared" si="3"/>
        <v>2.90544</v>
      </c>
      <c r="AX194" s="306">
        <f t="shared" si="3"/>
        <v>2.9151899999999999</v>
      </c>
      <c r="AY194" s="306">
        <f t="shared" si="3"/>
        <v>2.9247700000000001</v>
      </c>
      <c r="AZ194" s="306">
        <f t="shared" si="3"/>
        <v>2.9342999999999999</v>
      </c>
      <c r="BA194" s="306">
        <f t="shared" si="3"/>
        <v>2.94367</v>
      </c>
      <c r="BB194" s="306">
        <f t="shared" si="3"/>
        <v>2.9529399999999999</v>
      </c>
      <c r="BC194" s="306">
        <f t="shared" si="3"/>
        <v>2.9623200000000001</v>
      </c>
      <c r="BD194" s="306">
        <f t="shared" si="3"/>
        <v>2.9714999999999998</v>
      </c>
      <c r="BE194" s="306">
        <f t="shared" si="3"/>
        <v>2.9807800000000002</v>
      </c>
      <c r="BF194" s="306">
        <f t="shared" si="3"/>
        <v>2.9901499999999999</v>
      </c>
    </row>
    <row r="196" spans="1:58" ht="18.75" x14ac:dyDescent="0.3">
      <c r="A196" s="300" t="s">
        <v>346</v>
      </c>
      <c r="H196" s="309"/>
      <c r="I196" s="309"/>
    </row>
    <row r="197" spans="1:58" x14ac:dyDescent="0.2">
      <c r="A197" s="310" t="s">
        <v>168</v>
      </c>
      <c r="B197" s="311"/>
      <c r="C197" s="312"/>
      <c r="D197" s="213">
        <f t="shared" ref="D197:K197" si="4">SUM(D$9:D$99,D$103:D$193)/SUM(C$9:C$99,C$103:C$193)-1</f>
        <v>1.0431029744565334E-2</v>
      </c>
      <c r="E197" s="213">
        <f t="shared" si="4"/>
        <v>9.6020131117144913E-3</v>
      </c>
      <c r="F197" s="213">
        <f t="shared" si="4"/>
        <v>1.0988830794025573E-2</v>
      </c>
      <c r="G197" s="213">
        <f t="shared" si="4"/>
        <v>1.2055730237106044E-2</v>
      </c>
      <c r="H197" s="213">
        <f t="shared" si="4"/>
        <v>8.530571314751878E-3</v>
      </c>
      <c r="I197" s="213">
        <f t="shared" si="4"/>
        <v>6.4130503872801281E-3</v>
      </c>
      <c r="J197" s="213">
        <f t="shared" si="4"/>
        <v>6.9315841590857907E-3</v>
      </c>
      <c r="K197" s="213">
        <f t="shared" si="4"/>
        <v>8.3869840459134259E-3</v>
      </c>
      <c r="L197" s="213">
        <f t="shared" ref="L197:BF197" si="5">SUM(L$9:L$99,L$103:L$193)/SUM(K$9:K$99,K$103:K$193)-1</f>
        <v>9.4168610463178926E-3</v>
      </c>
      <c r="M197" s="213">
        <f t="shared" si="5"/>
        <v>9.3092042280953358E-3</v>
      </c>
      <c r="N197" s="213">
        <f t="shared" si="5"/>
        <v>9.2255227105724202E-3</v>
      </c>
      <c r="O197" s="213">
        <f t="shared" si="5"/>
        <v>9.1800799395052035E-3</v>
      </c>
      <c r="P197" s="213">
        <f t="shared" si="5"/>
        <v>9.0901500538429492E-3</v>
      </c>
      <c r="Q197" s="213">
        <f t="shared" si="5"/>
        <v>8.9870477039111218E-3</v>
      </c>
      <c r="R197" s="213">
        <f t="shared" si="5"/>
        <v>8.873357009636651E-3</v>
      </c>
      <c r="S197" s="213">
        <f t="shared" si="5"/>
        <v>8.7577975035484368E-3</v>
      </c>
      <c r="T197" s="213">
        <f t="shared" si="5"/>
        <v>8.6280456939316075E-3</v>
      </c>
      <c r="U197" s="213">
        <f t="shared" si="5"/>
        <v>8.4886895995115452E-3</v>
      </c>
      <c r="V197" s="213">
        <f t="shared" si="5"/>
        <v>8.2994294396159241E-3</v>
      </c>
      <c r="W197" s="213">
        <f t="shared" si="5"/>
        <v>8.1303924787825554E-3</v>
      </c>
      <c r="X197" s="213">
        <f t="shared" si="5"/>
        <v>7.9249467973503407E-3</v>
      </c>
      <c r="Y197" s="213">
        <f t="shared" si="5"/>
        <v>7.7119650443784327E-3</v>
      </c>
      <c r="Z197" s="213">
        <f t="shared" si="5"/>
        <v>7.487689380898388E-3</v>
      </c>
      <c r="AA197" s="213">
        <f t="shared" si="5"/>
        <v>7.2777759335451719E-3</v>
      </c>
      <c r="AB197" s="213">
        <f t="shared" si="5"/>
        <v>7.0177615279334304E-3</v>
      </c>
      <c r="AC197" s="213">
        <f t="shared" si="5"/>
        <v>6.7955969152224682E-3</v>
      </c>
      <c r="AD197" s="213">
        <f t="shared" si="5"/>
        <v>6.5680785645449991E-3</v>
      </c>
      <c r="AE197" s="213">
        <f t="shared" si="5"/>
        <v>6.3770494606008032E-3</v>
      </c>
      <c r="AF197" s="213">
        <f t="shared" si="5"/>
        <v>6.1497689589562476E-3</v>
      </c>
      <c r="AG197" s="213">
        <f t="shared" si="5"/>
        <v>5.9696004382459034E-3</v>
      </c>
      <c r="AH197" s="213">
        <f t="shared" si="5"/>
        <v>5.8092261327524763E-3</v>
      </c>
      <c r="AI197" s="213">
        <f t="shared" si="5"/>
        <v>5.6458835112389583E-3</v>
      </c>
      <c r="AJ197" s="213">
        <f t="shared" si="5"/>
        <v>5.4888121893299502E-3</v>
      </c>
      <c r="AK197" s="213">
        <f t="shared" si="5"/>
        <v>5.3506627817212493E-3</v>
      </c>
      <c r="AL197" s="213">
        <f t="shared" si="5"/>
        <v>5.2218702065218725E-3</v>
      </c>
      <c r="AM197" s="213">
        <f t="shared" si="5"/>
        <v>5.0804341593877478E-3</v>
      </c>
      <c r="AN197" s="213">
        <f t="shared" si="5"/>
        <v>4.9662956236664613E-3</v>
      </c>
      <c r="AO197" s="213">
        <f t="shared" si="5"/>
        <v>4.81960174964291E-3</v>
      </c>
      <c r="AP197" s="213">
        <f t="shared" si="5"/>
        <v>4.7160366699561251E-3</v>
      </c>
      <c r="AQ197" s="213">
        <f t="shared" si="5"/>
        <v>4.5800222773422217E-3</v>
      </c>
      <c r="AR197" s="213">
        <f t="shared" si="5"/>
        <v>4.4776648127811125E-3</v>
      </c>
      <c r="AS197" s="213">
        <f t="shared" si="5"/>
        <v>4.3466147541562083E-3</v>
      </c>
      <c r="AT197" s="213">
        <f t="shared" si="5"/>
        <v>4.2698653201609371E-3</v>
      </c>
      <c r="AU197" s="213">
        <f t="shared" si="5"/>
        <v>4.1695439725177863E-3</v>
      </c>
      <c r="AV197" s="213">
        <f t="shared" si="5"/>
        <v>4.0930378314385507E-3</v>
      </c>
      <c r="AW197" s="213">
        <f t="shared" si="5"/>
        <v>4.0278045084360947E-3</v>
      </c>
      <c r="AX197" s="213">
        <f t="shared" si="5"/>
        <v>3.9563847864829693E-3</v>
      </c>
      <c r="AY197" s="213">
        <f t="shared" si="5"/>
        <v>3.9098313422951669E-3</v>
      </c>
      <c r="AZ197" s="213">
        <f t="shared" si="5"/>
        <v>3.8860369961688512E-3</v>
      </c>
      <c r="BA197" s="213">
        <f t="shared" si="5"/>
        <v>3.8573398691919003E-3</v>
      </c>
      <c r="BB197" s="213">
        <f t="shared" si="5"/>
        <v>3.8238154503227317E-3</v>
      </c>
      <c r="BC197" s="213">
        <f t="shared" si="5"/>
        <v>3.8346558718167501E-3</v>
      </c>
      <c r="BD197" s="213">
        <f t="shared" si="5"/>
        <v>3.808196480666215E-3</v>
      </c>
      <c r="BE197" s="213">
        <f t="shared" si="5"/>
        <v>3.8273667649422194E-3</v>
      </c>
      <c r="BF197" s="213">
        <f t="shared" si="5"/>
        <v>3.8228207159038963E-3</v>
      </c>
    </row>
    <row r="198" spans="1:58" x14ac:dyDescent="0.2">
      <c r="A198" s="310" t="s">
        <v>1073</v>
      </c>
      <c r="B198" s="311"/>
      <c r="C198" s="312"/>
      <c r="D198" s="213">
        <f t="shared" ref="D198:K198" si="6">SUM(D$10:D$13,D$104:D$107)/SUM(C$10:C$13,C$104:C$107)-1</f>
        <v>1.6127610822243676E-2</v>
      </c>
      <c r="E198" s="213">
        <f t="shared" si="6"/>
        <v>2.3330442324371203E-2</v>
      </c>
      <c r="F198" s="213">
        <f t="shared" si="6"/>
        <v>2.7332824815662349E-2</v>
      </c>
      <c r="G198" s="213">
        <f t="shared" si="6"/>
        <v>2.3470692571051499E-2</v>
      </c>
      <c r="H198" s="213">
        <f t="shared" si="6"/>
        <v>1.5194260841528306E-2</v>
      </c>
      <c r="I198" s="213">
        <f t="shared" si="6"/>
        <v>-2.1040930564929505E-3</v>
      </c>
      <c r="J198" s="213">
        <f t="shared" si="6"/>
        <v>-1.5833863781031243E-2</v>
      </c>
      <c r="K198" s="213">
        <f t="shared" si="6"/>
        <v>-1.0267604495108773E-2</v>
      </c>
      <c r="L198" s="213">
        <f t="shared" ref="L198:BF198" si="7">SUM(L$10:L$13,L$104:L$107)/SUM(K$10:K$13,K$104:K$107)-1</f>
        <v>-1.0741708871099487E-2</v>
      </c>
      <c r="M198" s="213">
        <f t="shared" si="7"/>
        <v>-4.417654101812496E-3</v>
      </c>
      <c r="N198" s="213">
        <f t="shared" si="7"/>
        <v>3.3590445384423795E-3</v>
      </c>
      <c r="O198" s="213">
        <f t="shared" si="7"/>
        <v>4.8770407108906788E-3</v>
      </c>
      <c r="P198" s="213">
        <f t="shared" si="7"/>
        <v>5.6348455558754562E-3</v>
      </c>
      <c r="Q198" s="213">
        <f t="shared" si="7"/>
        <v>6.0531697341512647E-3</v>
      </c>
      <c r="R198" s="213">
        <f t="shared" si="7"/>
        <v>5.9354419058459396E-3</v>
      </c>
      <c r="S198" s="213">
        <f t="shared" si="7"/>
        <v>5.5771096023278233E-3</v>
      </c>
      <c r="T198" s="213">
        <f t="shared" si="7"/>
        <v>4.9031428341772543E-3</v>
      </c>
      <c r="U198" s="213">
        <f t="shared" si="7"/>
        <v>4.1593345064789844E-3</v>
      </c>
      <c r="V198" s="213">
        <f t="shared" si="7"/>
        <v>3.106579576230617E-3</v>
      </c>
      <c r="W198" s="213">
        <f t="shared" si="7"/>
        <v>2.2234574763757564E-3</v>
      </c>
      <c r="X198" s="213">
        <f t="shared" si="7"/>
        <v>1.3469614135170893E-3</v>
      </c>
      <c r="Y198" s="213">
        <f t="shared" si="7"/>
        <v>3.9563222028804468E-4</v>
      </c>
      <c r="Z198" s="213">
        <f t="shared" si="7"/>
        <v>-4.3502333306966179E-4</v>
      </c>
      <c r="AA198" s="213">
        <f t="shared" si="7"/>
        <v>-1.1869436201780159E-3</v>
      </c>
      <c r="AB198" s="213">
        <f t="shared" si="7"/>
        <v>-1.8617548029312703E-3</v>
      </c>
      <c r="AC198" s="213">
        <f t="shared" si="7"/>
        <v>-2.262084292404154E-3</v>
      </c>
      <c r="AD198" s="213">
        <f t="shared" si="7"/>
        <v>-2.5456425758720869E-3</v>
      </c>
      <c r="AE198" s="213">
        <f t="shared" si="7"/>
        <v>-2.5122622323244803E-3</v>
      </c>
      <c r="AF198" s="213">
        <f t="shared" si="7"/>
        <v>-2.0788358519229222E-3</v>
      </c>
      <c r="AG198" s="213">
        <f t="shared" si="7"/>
        <v>-1.442192132040665E-3</v>
      </c>
      <c r="AH198" s="213">
        <f t="shared" si="7"/>
        <v>-6.8201877557572121E-4</v>
      </c>
      <c r="AI198" s="213">
        <f t="shared" si="7"/>
        <v>3.6131518728166334E-4</v>
      </c>
      <c r="AJ198" s="213">
        <f t="shared" si="7"/>
        <v>1.3243438478207636E-3</v>
      </c>
      <c r="AK198" s="213">
        <f t="shared" si="7"/>
        <v>2.1642419141516545E-3</v>
      </c>
      <c r="AL198" s="213">
        <f t="shared" si="7"/>
        <v>2.7194561087782176E-3</v>
      </c>
      <c r="AM198" s="213">
        <f t="shared" si="7"/>
        <v>2.9912655047261705E-3</v>
      </c>
      <c r="AN198" s="213">
        <f t="shared" si="7"/>
        <v>3.1414028948624217E-3</v>
      </c>
      <c r="AO198" s="213">
        <f t="shared" si="7"/>
        <v>3.0522852499306197E-3</v>
      </c>
      <c r="AP198" s="213">
        <f t="shared" si="7"/>
        <v>2.7663610496364566E-3</v>
      </c>
      <c r="AQ198" s="213">
        <f t="shared" si="7"/>
        <v>2.6404981477101686E-3</v>
      </c>
      <c r="AR198" s="213">
        <f t="shared" si="7"/>
        <v>2.3977044927478985E-3</v>
      </c>
      <c r="AS198" s="213">
        <f t="shared" si="7"/>
        <v>2.1174809818838014E-3</v>
      </c>
      <c r="AT198" s="213">
        <f t="shared" si="7"/>
        <v>2.0347472217874252E-3</v>
      </c>
      <c r="AU198" s="213">
        <f t="shared" si="7"/>
        <v>1.9525148391128511E-3</v>
      </c>
      <c r="AV198" s="213">
        <f t="shared" si="7"/>
        <v>1.9097357549302529E-3</v>
      </c>
      <c r="AW198" s="213">
        <f t="shared" si="7"/>
        <v>1.7504959738592341E-3</v>
      </c>
      <c r="AX198" s="213">
        <f t="shared" si="7"/>
        <v>1.7862690276484461E-3</v>
      </c>
      <c r="AY198" s="213">
        <f t="shared" si="7"/>
        <v>1.7055585704317533E-3</v>
      </c>
      <c r="AZ198" s="213">
        <f t="shared" si="7"/>
        <v>1.7026545932976589E-3</v>
      </c>
      <c r="BA198" s="213">
        <f t="shared" si="7"/>
        <v>1.6224986479178582E-3</v>
      </c>
      <c r="BB198" s="213">
        <f t="shared" si="7"/>
        <v>1.3884603517433369E-3</v>
      </c>
      <c r="BC198" s="213">
        <f t="shared" si="7"/>
        <v>1.386535202588135E-3</v>
      </c>
      <c r="BD198" s="213">
        <f t="shared" si="7"/>
        <v>1.0769230769229754E-3</v>
      </c>
      <c r="BE198" s="213">
        <f t="shared" si="7"/>
        <v>9.989242354386807E-4</v>
      </c>
      <c r="BF198" s="213">
        <f t="shared" si="7"/>
        <v>7.2925462500950111E-4</v>
      </c>
    </row>
    <row r="199" spans="1:58" x14ac:dyDescent="0.2">
      <c r="A199" s="310" t="s">
        <v>1074</v>
      </c>
      <c r="B199" s="311"/>
      <c r="C199" s="312"/>
      <c r="D199" s="213">
        <f t="shared" ref="D199:K199" si="8">SUM(D$14:D$26,D$108:D$120)/SUM(C$14:C$26,C$108:C$120)-1</f>
        <v>-5.0677162581894697E-3</v>
      </c>
      <c r="E199" s="213">
        <f t="shared" si="8"/>
        <v>-9.5677451971688532E-3</v>
      </c>
      <c r="F199" s="213">
        <f t="shared" si="8"/>
        <v>-9.136965149369014E-3</v>
      </c>
      <c r="G199" s="213">
        <f t="shared" si="8"/>
        <v>-5.7568225430474351E-3</v>
      </c>
      <c r="H199" s="213">
        <f t="shared" si="8"/>
        <v>-6.7487046632124237E-3</v>
      </c>
      <c r="I199" s="213">
        <f t="shared" si="8"/>
        <v>-4.0558692732038937E-3</v>
      </c>
      <c r="J199" s="213">
        <f t="shared" si="8"/>
        <v>-7.2019694112712695E-4</v>
      </c>
      <c r="K199" s="213">
        <f t="shared" si="8"/>
        <v>7.3381992583176903E-4</v>
      </c>
      <c r="L199" s="213">
        <f t="shared" ref="L199:BF199" si="9">SUM(L$14:L$26,L$108:L$120)/SUM(K$14:K$26,K$108:K$120)-1</f>
        <v>4.6092000680904022E-3</v>
      </c>
      <c r="M199" s="213">
        <f t="shared" si="9"/>
        <v>3.1151835872837985E-3</v>
      </c>
      <c r="N199" s="213">
        <f t="shared" si="9"/>
        <v>2.4428274428274221E-3</v>
      </c>
      <c r="O199" s="213">
        <f t="shared" si="9"/>
        <v>2.8516617410700995E-4</v>
      </c>
      <c r="P199" s="213">
        <f t="shared" si="9"/>
        <v>2.2936374238693436E-3</v>
      </c>
      <c r="Q199" s="213">
        <f t="shared" si="9"/>
        <v>5.5593623540668435E-3</v>
      </c>
      <c r="R199" s="213">
        <f t="shared" si="9"/>
        <v>5.682913971996939E-3</v>
      </c>
      <c r="S199" s="213">
        <f t="shared" si="9"/>
        <v>4.0015852925758821E-3</v>
      </c>
      <c r="T199" s="213">
        <f t="shared" si="9"/>
        <v>5.1189324097182798E-3</v>
      </c>
      <c r="U199" s="213">
        <f t="shared" si="9"/>
        <v>3.9400005067524724E-3</v>
      </c>
      <c r="V199" s="213">
        <f t="shared" si="9"/>
        <v>1.2492901760363662E-3</v>
      </c>
      <c r="W199" s="213">
        <f t="shared" si="9"/>
        <v>-9.956644484775401E-4</v>
      </c>
      <c r="X199" s="213">
        <f t="shared" si="9"/>
        <v>6.5602725036262299E-4</v>
      </c>
      <c r="Y199" s="213">
        <f t="shared" si="9"/>
        <v>2.1432984101776853E-4</v>
      </c>
      <c r="Z199" s="213">
        <f t="shared" si="9"/>
        <v>1.9663700305039278E-3</v>
      </c>
      <c r="AA199" s="213">
        <f t="shared" si="9"/>
        <v>3.975342810416338E-3</v>
      </c>
      <c r="AB199" s="213">
        <f t="shared" si="9"/>
        <v>3.8969501040022614E-3</v>
      </c>
      <c r="AC199" s="213">
        <f t="shared" si="9"/>
        <v>3.5822609433702191E-3</v>
      </c>
      <c r="AD199" s="213">
        <f t="shared" si="9"/>
        <v>3.1466096214118888E-3</v>
      </c>
      <c r="AE199" s="213">
        <f t="shared" si="9"/>
        <v>2.5168305292782023E-3</v>
      </c>
      <c r="AF199" s="213">
        <f t="shared" si="9"/>
        <v>1.7808558001484176E-3</v>
      </c>
      <c r="AG199" s="213">
        <f t="shared" si="9"/>
        <v>1.1851266604119282E-3</v>
      </c>
      <c r="AH199" s="213">
        <f t="shared" si="9"/>
        <v>5.1787916152901126E-4</v>
      </c>
      <c r="AI199" s="213">
        <f t="shared" si="9"/>
        <v>-6.1620369229298255E-5</v>
      </c>
      <c r="AJ199" s="213">
        <f t="shared" si="9"/>
        <v>-5.2996783218506316E-4</v>
      </c>
      <c r="AK199" s="213">
        <f t="shared" si="9"/>
        <v>-8.0153895479317949E-4</v>
      </c>
      <c r="AL199" s="213">
        <f t="shared" si="9"/>
        <v>-9.5027706129902079E-4</v>
      </c>
      <c r="AM199" s="213">
        <f t="shared" si="9"/>
        <v>-9.5118094673385389E-4</v>
      </c>
      <c r="AN199" s="213">
        <f t="shared" si="9"/>
        <v>-8.0370942812979518E-4</v>
      </c>
      <c r="AO199" s="213">
        <f t="shared" si="9"/>
        <v>-5.5686177453284635E-4</v>
      </c>
      <c r="AP199" s="213">
        <f t="shared" si="9"/>
        <v>-2.6001361976102366E-4</v>
      </c>
      <c r="AQ199" s="213">
        <f t="shared" si="9"/>
        <v>1.48617853958255E-4</v>
      </c>
      <c r="AR199" s="213">
        <f t="shared" si="9"/>
        <v>4.9531923324575011E-4</v>
      </c>
      <c r="AS199" s="213">
        <f t="shared" si="9"/>
        <v>9.6539432645181833E-4</v>
      </c>
      <c r="AT199" s="213">
        <f t="shared" si="9"/>
        <v>1.3848702920593592E-3</v>
      </c>
      <c r="AU199" s="213">
        <f t="shared" si="9"/>
        <v>1.7163460351172777E-3</v>
      </c>
      <c r="AV199" s="213">
        <f t="shared" si="9"/>
        <v>1.9722650231124295E-3</v>
      </c>
      <c r="AW199" s="213">
        <f t="shared" si="9"/>
        <v>2.3251522421110504E-3</v>
      </c>
      <c r="AX199" s="213">
        <f t="shared" si="9"/>
        <v>2.430223138669918E-3</v>
      </c>
      <c r="AY199" s="213">
        <f t="shared" si="9"/>
        <v>2.5222842589871508E-3</v>
      </c>
      <c r="AZ199" s="213">
        <f t="shared" si="9"/>
        <v>2.4426585896089037E-3</v>
      </c>
      <c r="BA199" s="213">
        <f t="shared" si="9"/>
        <v>2.4488900801675761E-3</v>
      </c>
      <c r="BB199" s="213">
        <f t="shared" si="9"/>
        <v>2.2970624339138102E-3</v>
      </c>
      <c r="BC199" s="213">
        <f t="shared" si="9"/>
        <v>2.2190425377115464E-3</v>
      </c>
      <c r="BD199" s="213">
        <f t="shared" si="9"/>
        <v>2.044742350364892E-3</v>
      </c>
      <c r="BE199" s="213">
        <f t="shared" si="9"/>
        <v>1.9319005071238848E-3</v>
      </c>
      <c r="BF199" s="213">
        <f t="shared" si="9"/>
        <v>1.8679199807183355E-3</v>
      </c>
    </row>
    <row r="200" spans="1:58" x14ac:dyDescent="0.2">
      <c r="A200" s="310" t="s">
        <v>1075</v>
      </c>
      <c r="B200" s="311"/>
      <c r="C200" s="312"/>
      <c r="D200" s="213">
        <f t="shared" ref="D200:K200" si="10">SUM(D$27:D$33,D$121:D$127)/SUM(C$27:C$33,C$121:C$127)-1</f>
        <v>1.3718919968920051E-2</v>
      </c>
      <c r="E200" s="213">
        <f t="shared" si="10"/>
        <v>1.7748928118038743E-2</v>
      </c>
      <c r="F200" s="213">
        <f t="shared" si="10"/>
        <v>2.7912449988232613E-2</v>
      </c>
      <c r="G200" s="213">
        <f t="shared" si="10"/>
        <v>2.6284458283725609E-2</v>
      </c>
      <c r="H200" s="213">
        <f t="shared" si="10"/>
        <v>1.6888274138854076E-2</v>
      </c>
      <c r="I200" s="213">
        <f t="shared" si="10"/>
        <v>7.6347600974089325E-3</v>
      </c>
      <c r="J200" s="213">
        <f t="shared" si="10"/>
        <v>3.0481830651658548E-3</v>
      </c>
      <c r="K200" s="213">
        <f t="shared" si="10"/>
        <v>6.5119711736727481E-5</v>
      </c>
      <c r="L200" s="213">
        <f t="shared" ref="L200:BF200" si="11">SUM(L$27:L$33,L$121:L$127)/SUM(K$27:K$33,K$121:K$127)-1</f>
        <v>-7.5968050008682342E-3</v>
      </c>
      <c r="M200" s="213">
        <f t="shared" si="11"/>
        <v>-1.2029220069113333E-2</v>
      </c>
      <c r="N200" s="213">
        <f t="shared" si="11"/>
        <v>-1.0891702824758709E-2</v>
      </c>
      <c r="O200" s="213">
        <f t="shared" si="11"/>
        <v>-6.6920322291853518E-3</v>
      </c>
      <c r="P200" s="213">
        <f t="shared" si="11"/>
        <v>-7.7060003154503232E-3</v>
      </c>
      <c r="Q200" s="213">
        <f t="shared" si="11"/>
        <v>-1.3329094666091446E-2</v>
      </c>
      <c r="R200" s="213">
        <f t="shared" si="11"/>
        <v>-1.0540366381294297E-2</v>
      </c>
      <c r="S200" s="213">
        <f t="shared" si="11"/>
        <v>-2.8608643066474482E-3</v>
      </c>
      <c r="T200" s="213">
        <f t="shared" si="11"/>
        <v>-3.568846073103038E-3</v>
      </c>
      <c r="U200" s="213">
        <f t="shared" si="11"/>
        <v>1.7791095088721676E-3</v>
      </c>
      <c r="V200" s="213">
        <f t="shared" si="11"/>
        <v>3.5752675608731188E-3</v>
      </c>
      <c r="W200" s="213">
        <f t="shared" si="11"/>
        <v>1.14326961138147E-2</v>
      </c>
      <c r="X200" s="213">
        <f t="shared" si="11"/>
        <v>1.4204153045720425E-2</v>
      </c>
      <c r="Y200" s="213">
        <f t="shared" si="11"/>
        <v>1.4527295426171927E-2</v>
      </c>
      <c r="Z200" s="213">
        <f t="shared" si="11"/>
        <v>7.808479695715409E-3</v>
      </c>
      <c r="AA200" s="213">
        <f t="shared" si="11"/>
        <v>5.5279282479352432E-3</v>
      </c>
      <c r="AB200" s="213">
        <f t="shared" si="11"/>
        <v>2.5611021570661752E-3</v>
      </c>
      <c r="AC200" s="213">
        <f t="shared" si="11"/>
        <v>-2.400405206016476E-3</v>
      </c>
      <c r="AD200" s="213">
        <f t="shared" si="11"/>
        <v>-6.3355408388521273E-3</v>
      </c>
      <c r="AE200" s="213">
        <f t="shared" si="11"/>
        <v>-3.1546442138937758E-3</v>
      </c>
      <c r="AF200" s="213">
        <f t="shared" si="11"/>
        <v>-3.4989191237101425E-3</v>
      </c>
      <c r="AG200" s="213">
        <f t="shared" si="11"/>
        <v>1.3418616093385793E-4</v>
      </c>
      <c r="AH200" s="213">
        <f t="shared" si="11"/>
        <v>4.4499105545616757E-3</v>
      </c>
      <c r="AI200" s="213">
        <f t="shared" si="11"/>
        <v>5.031278523564664E-3</v>
      </c>
      <c r="AJ200" s="213">
        <f t="shared" si="11"/>
        <v>5.3162033447780033E-3</v>
      </c>
      <c r="AK200" s="213">
        <f t="shared" si="11"/>
        <v>5.1779222209982212E-3</v>
      </c>
      <c r="AL200" s="213">
        <f t="shared" si="11"/>
        <v>4.8224462954844505E-3</v>
      </c>
      <c r="AM200" s="213">
        <f t="shared" si="11"/>
        <v>4.1230366492146509E-3</v>
      </c>
      <c r="AN200" s="213">
        <f t="shared" si="11"/>
        <v>3.4543440005214698E-3</v>
      </c>
      <c r="AO200" s="213">
        <f t="shared" si="11"/>
        <v>2.5980774227072345E-3</v>
      </c>
      <c r="AP200" s="213">
        <f t="shared" si="11"/>
        <v>1.792346894704977E-3</v>
      </c>
      <c r="AQ200" s="213">
        <f t="shared" si="11"/>
        <v>9.0534802009001325E-4</v>
      </c>
      <c r="AR200" s="213">
        <f t="shared" si="11"/>
        <v>1.507548510757406E-4</v>
      </c>
      <c r="AS200" s="213">
        <f t="shared" si="11"/>
        <v>-6.6752799310942912E-4</v>
      </c>
      <c r="AT200" s="213">
        <f t="shared" si="11"/>
        <v>-1.1204723221789337E-3</v>
      </c>
      <c r="AU200" s="213">
        <f t="shared" si="11"/>
        <v>-1.6610220678646703E-3</v>
      </c>
      <c r="AV200" s="213">
        <f t="shared" si="11"/>
        <v>-1.9446845289542436E-3</v>
      </c>
      <c r="AW200" s="213">
        <f t="shared" si="11"/>
        <v>-1.9701234033340231E-3</v>
      </c>
      <c r="AX200" s="213">
        <f t="shared" si="11"/>
        <v>-1.7787804507689575E-3</v>
      </c>
      <c r="AY200" s="213">
        <f t="shared" si="11"/>
        <v>-1.3473281613316512E-3</v>
      </c>
      <c r="AZ200" s="213">
        <f t="shared" si="11"/>
        <v>-7.3985420520072953E-4</v>
      </c>
      <c r="BA200" s="213">
        <f t="shared" si="11"/>
        <v>0</v>
      </c>
      <c r="BB200" s="213">
        <f t="shared" si="11"/>
        <v>7.1862546547341033E-4</v>
      </c>
      <c r="BC200" s="213">
        <f t="shared" si="11"/>
        <v>1.523262392827629E-3</v>
      </c>
      <c r="BD200" s="213">
        <f t="shared" si="11"/>
        <v>2.0206848600730076E-3</v>
      </c>
      <c r="BE200" s="213">
        <f t="shared" si="11"/>
        <v>2.4719734588112274E-3</v>
      </c>
      <c r="BF200" s="213">
        <f t="shared" si="11"/>
        <v>2.7254439661699159E-3</v>
      </c>
    </row>
    <row r="201" spans="1:58" x14ac:dyDescent="0.2">
      <c r="A201" s="310" t="s">
        <v>1076</v>
      </c>
      <c r="B201" s="311"/>
      <c r="C201" s="312"/>
      <c r="D201" s="213">
        <f t="shared" ref="D201:K201" si="12">SUM(D$74:D$99,D$168:D$193)/SUM(C$74:C$99,C$168:C$193)-1</f>
        <v>2.9474424877352856E-2</v>
      </c>
      <c r="E201" s="213">
        <f t="shared" si="12"/>
        <v>2.1245087429515364E-2</v>
      </c>
      <c r="F201" s="213">
        <f t="shared" si="12"/>
        <v>2.7347090537274577E-2</v>
      </c>
      <c r="G201" s="213">
        <f t="shared" si="12"/>
        <v>2.9948788476502397E-2</v>
      </c>
      <c r="H201" s="213">
        <f t="shared" si="12"/>
        <v>3.1379576920373964E-2</v>
      </c>
      <c r="I201" s="213">
        <f t="shared" si="12"/>
        <v>4.1157030424857854E-2</v>
      </c>
      <c r="J201" s="213">
        <f t="shared" si="12"/>
        <v>3.8172060604077407E-2</v>
      </c>
      <c r="K201" s="213">
        <f t="shared" si="12"/>
        <v>3.5208270949236509E-2</v>
      </c>
      <c r="L201" s="213">
        <f t="shared" ref="L201:BF201" si="13">SUM(L$74:L$99,L$168:L$193)/SUM(K$74:K$99,K$168:K$193)-1</f>
        <v>3.5122174012331531E-2</v>
      </c>
      <c r="M201" s="213">
        <f t="shared" si="13"/>
        <v>3.2930344746440854E-2</v>
      </c>
      <c r="N201" s="213">
        <f t="shared" si="13"/>
        <v>3.2435818940353967E-2</v>
      </c>
      <c r="O201" s="213">
        <f t="shared" si="13"/>
        <v>3.1665034685349314E-2</v>
      </c>
      <c r="P201" s="213">
        <f t="shared" si="13"/>
        <v>3.2337410600895566E-2</v>
      </c>
      <c r="Q201" s="213">
        <f t="shared" si="13"/>
        <v>3.2295659380503494E-2</v>
      </c>
      <c r="R201" s="213">
        <f t="shared" si="13"/>
        <v>3.3141824932888531E-2</v>
      </c>
      <c r="S201" s="213">
        <f t="shared" si="13"/>
        <v>3.2722195240407981E-2</v>
      </c>
      <c r="T201" s="213">
        <f t="shared" si="13"/>
        <v>3.1873493621774163E-2</v>
      </c>
      <c r="U201" s="213">
        <f t="shared" si="13"/>
        <v>3.3201923296037217E-2</v>
      </c>
      <c r="V201" s="213">
        <f t="shared" si="13"/>
        <v>3.2300397000441183E-2</v>
      </c>
      <c r="W201" s="213">
        <f t="shared" si="13"/>
        <v>3.3041694708842106E-2</v>
      </c>
      <c r="X201" s="213">
        <f t="shared" si="13"/>
        <v>3.2295092138735493E-2</v>
      </c>
      <c r="Y201" s="213">
        <f t="shared" si="13"/>
        <v>3.0483345855246702E-2</v>
      </c>
      <c r="Z201" s="213">
        <f t="shared" si="13"/>
        <v>2.7617918108644002E-2</v>
      </c>
      <c r="AA201" s="213">
        <f t="shared" si="13"/>
        <v>2.4198507222658483E-2</v>
      </c>
      <c r="AB201" s="213">
        <f t="shared" si="13"/>
        <v>2.2222837983873145E-2</v>
      </c>
      <c r="AC201" s="213">
        <f t="shared" si="13"/>
        <v>2.0610266279941891E-2</v>
      </c>
      <c r="AD201" s="213">
        <f t="shared" si="13"/>
        <v>1.9742550064627995E-2</v>
      </c>
      <c r="AE201" s="213">
        <f t="shared" si="13"/>
        <v>1.9360327823308765E-2</v>
      </c>
      <c r="AF201" s="213">
        <f t="shared" si="13"/>
        <v>1.7655475496959561E-2</v>
      </c>
      <c r="AG201" s="213">
        <f t="shared" si="13"/>
        <v>1.7717408588382E-2</v>
      </c>
      <c r="AH201" s="213">
        <f t="shared" si="13"/>
        <v>1.5936975757376404E-2</v>
      </c>
      <c r="AI201" s="213">
        <f t="shared" si="13"/>
        <v>1.2853928218743427E-2</v>
      </c>
      <c r="AJ201" s="213">
        <f t="shared" si="13"/>
        <v>1.0237353152721118E-2</v>
      </c>
      <c r="AK201" s="213">
        <f t="shared" si="13"/>
        <v>7.973989605335019E-3</v>
      </c>
      <c r="AL201" s="213">
        <f t="shared" si="13"/>
        <v>5.7683704941962066E-3</v>
      </c>
      <c r="AM201" s="213">
        <f t="shared" si="13"/>
        <v>5.1500538414719355E-3</v>
      </c>
      <c r="AN201" s="213">
        <f t="shared" si="13"/>
        <v>4.1765646591209737E-3</v>
      </c>
      <c r="AO201" s="213">
        <f t="shared" si="13"/>
        <v>4.9090852866595647E-3</v>
      </c>
      <c r="AP201" s="213">
        <f t="shared" si="13"/>
        <v>5.3697677460053939E-3</v>
      </c>
      <c r="AQ201" s="213">
        <f t="shared" si="13"/>
        <v>5.7849026284577665E-3</v>
      </c>
      <c r="AR201" s="213">
        <f t="shared" si="13"/>
        <v>6.6874110817780608E-3</v>
      </c>
      <c r="AS201" s="213">
        <f t="shared" si="13"/>
        <v>7.7237001209189415E-3</v>
      </c>
      <c r="AT201" s="213">
        <f t="shared" si="13"/>
        <v>7.8219915705479703E-3</v>
      </c>
      <c r="AU201" s="213">
        <f t="shared" si="13"/>
        <v>8.0812590690926278E-3</v>
      </c>
      <c r="AV201" s="213">
        <f t="shared" si="13"/>
        <v>8.7103512928965454E-3</v>
      </c>
      <c r="AW201" s="213">
        <f t="shared" si="13"/>
        <v>9.0229855617596222E-3</v>
      </c>
      <c r="AX201" s="213">
        <f t="shared" si="13"/>
        <v>1.082794232833395E-2</v>
      </c>
      <c r="AY201" s="213">
        <f t="shared" si="13"/>
        <v>1.2017764767501049E-2</v>
      </c>
      <c r="AZ201" s="213">
        <f t="shared" si="13"/>
        <v>1.3874315855145536E-2</v>
      </c>
      <c r="BA201" s="213">
        <f t="shared" si="13"/>
        <v>1.4824241830933671E-2</v>
      </c>
      <c r="BB201" s="213">
        <f t="shared" si="13"/>
        <v>1.3456993433428099E-2</v>
      </c>
      <c r="BC201" s="213">
        <f t="shared" si="13"/>
        <v>1.3169524482941508E-2</v>
      </c>
      <c r="BD201" s="213">
        <f t="shared" si="13"/>
        <v>1.2374261000275055E-2</v>
      </c>
      <c r="BE201" s="213">
        <f t="shared" si="13"/>
        <v>1.2415237665961865E-2</v>
      </c>
      <c r="BF201" s="213">
        <f t="shared" si="13"/>
        <v>1.1634454221663537E-2</v>
      </c>
    </row>
    <row r="202" spans="1:58" x14ac:dyDescent="0.2">
      <c r="A202" s="310" t="s">
        <v>1077</v>
      </c>
      <c r="B202" s="311"/>
      <c r="C202" s="312"/>
      <c r="D202" s="213">
        <f>SUM(D$9:D$27,D$103:D$121)/SUM(C$9:C$27,C$103:C$121)-1</f>
        <v>3.3696555949411788E-3</v>
      </c>
      <c r="E202" s="213">
        <f t="shared" ref="E202:K202" si="14">SUM(E$9:E$27,E$103:E$121)/SUM(D$9:D$27,D$103:D$121)-1</f>
        <v>2.0935101186323468E-3</v>
      </c>
      <c r="F202" s="213">
        <f t="shared" si="14"/>
        <v>-9.5752089136480478E-5</v>
      </c>
      <c r="G202" s="213">
        <f t="shared" si="14"/>
        <v>3.9175060286056329E-4</v>
      </c>
      <c r="H202" s="213">
        <f t="shared" si="14"/>
        <v>-2.9326278782393356E-3</v>
      </c>
      <c r="I202" s="213">
        <f t="shared" si="14"/>
        <v>-5.8999624706529419E-3</v>
      </c>
      <c r="J202" s="213">
        <f t="shared" si="14"/>
        <v>-4.2756428828544246E-3</v>
      </c>
      <c r="K202" s="213">
        <f t="shared" si="14"/>
        <v>-2.7157141093692161E-3</v>
      </c>
      <c r="L202" s="213">
        <f t="shared" ref="L202:BF202" si="15">SUM(L$9:L$27,L$103:L$121)/SUM(K$9:K$27,K$103:K$121)-1</f>
        <v>-5.1279330893139186E-4</v>
      </c>
      <c r="M202" s="213">
        <f t="shared" si="15"/>
        <v>1.3710990021937874E-3</v>
      </c>
      <c r="N202" s="213">
        <f t="shared" si="15"/>
        <v>1.775571318781255E-3</v>
      </c>
      <c r="O202" s="213">
        <f t="shared" si="15"/>
        <v>3.0951289196148313E-3</v>
      </c>
      <c r="P202" s="213">
        <f t="shared" si="15"/>
        <v>1.8988176343897045E-3</v>
      </c>
      <c r="Q202" s="213">
        <f t="shared" si="15"/>
        <v>3.3341815023120169E-3</v>
      </c>
      <c r="R202" s="213">
        <f t="shared" si="15"/>
        <v>5.6230378396340264E-3</v>
      </c>
      <c r="S202" s="213">
        <f t="shared" si="15"/>
        <v>5.5307233420873736E-3</v>
      </c>
      <c r="T202" s="213">
        <f t="shared" si="15"/>
        <v>4.2635994119173404E-3</v>
      </c>
      <c r="U202" s="213">
        <f t="shared" si="15"/>
        <v>4.7794149307200939E-3</v>
      </c>
      <c r="V202" s="213">
        <f t="shared" si="15"/>
        <v>3.6767856836763535E-3</v>
      </c>
      <c r="W202" s="213">
        <f t="shared" si="15"/>
        <v>1.5370558549019364E-3</v>
      </c>
      <c r="X202" s="213">
        <f t="shared" si="15"/>
        <v>-2.1315235277563627E-4</v>
      </c>
      <c r="Y202" s="213">
        <f t="shared" si="15"/>
        <v>5.798980061741954E-4</v>
      </c>
      <c r="Z202" s="213">
        <f t="shared" si="15"/>
        <v>3.4091877610054055E-5</v>
      </c>
      <c r="AA202" s="213">
        <f t="shared" si="15"/>
        <v>9.9715342526462969E-4</v>
      </c>
      <c r="AB202" s="213">
        <f t="shared" si="15"/>
        <v>2.1115188461571233E-3</v>
      </c>
      <c r="AC202" s="213">
        <f t="shared" si="15"/>
        <v>1.9626334973108506E-3</v>
      </c>
      <c r="AD202" s="213">
        <f t="shared" si="15"/>
        <v>1.7298397354361672E-3</v>
      </c>
      <c r="AE202" s="213">
        <f t="shared" si="15"/>
        <v>1.413648907173215E-3</v>
      </c>
      <c r="AF202" s="213">
        <f t="shared" si="15"/>
        <v>1.0988918098748801E-3</v>
      </c>
      <c r="AG202" s="213">
        <f t="shared" si="15"/>
        <v>8.7814845775180395E-4</v>
      </c>
      <c r="AH202" s="213">
        <f t="shared" si="15"/>
        <v>6.3272451174767319E-4</v>
      </c>
      <c r="AI202" s="213">
        <f t="shared" si="15"/>
        <v>4.4684259337324228E-4</v>
      </c>
      <c r="AJ202" s="213">
        <f t="shared" si="15"/>
        <v>3.2023461399077746E-4</v>
      </c>
      <c r="AK202" s="213">
        <f t="shared" si="15"/>
        <v>2.6958492346307317E-4</v>
      </c>
      <c r="AL202" s="213">
        <f t="shared" si="15"/>
        <v>2.4424549198620582E-4</v>
      </c>
      <c r="AM202" s="213">
        <f t="shared" si="15"/>
        <v>2.3576564894489671E-4</v>
      </c>
      <c r="AN202" s="213">
        <f t="shared" si="15"/>
        <v>3.0305581277878524E-4</v>
      </c>
      <c r="AO202" s="213">
        <f t="shared" si="15"/>
        <v>3.9553633043265535E-4</v>
      </c>
      <c r="AP202" s="213">
        <f t="shared" si="15"/>
        <v>4.9632801393073578E-4</v>
      </c>
      <c r="AQ202" s="213">
        <f t="shared" si="15"/>
        <v>6.8106144687729575E-4</v>
      </c>
      <c r="AR202" s="213">
        <f t="shared" si="15"/>
        <v>8.4864678648544078E-4</v>
      </c>
      <c r="AS202" s="213">
        <f t="shared" si="15"/>
        <v>1.0662054838221913E-3</v>
      </c>
      <c r="AT202" s="213">
        <f t="shared" si="15"/>
        <v>1.3418203470283441E-3</v>
      </c>
      <c r="AU202" s="213">
        <f t="shared" si="15"/>
        <v>1.5494007587875114E-3</v>
      </c>
      <c r="AV202" s="213">
        <f t="shared" si="15"/>
        <v>1.7393340357567677E-3</v>
      </c>
      <c r="AW202" s="213">
        <f t="shared" si="15"/>
        <v>1.9700485834015513E-3</v>
      </c>
      <c r="AX202" s="213">
        <f t="shared" si="15"/>
        <v>2.1161376322587078E-3</v>
      </c>
      <c r="AY202" s="213">
        <f t="shared" si="15"/>
        <v>2.2197465997140231E-3</v>
      </c>
      <c r="AZ202" s="213">
        <f t="shared" si="15"/>
        <v>2.1982397491517869E-3</v>
      </c>
      <c r="BA202" s="213">
        <f t="shared" si="15"/>
        <v>2.2265262879088699E-3</v>
      </c>
      <c r="BB202" s="213">
        <f t="shared" si="15"/>
        <v>2.0564066564809913E-3</v>
      </c>
      <c r="BC202" s="213">
        <f t="shared" si="15"/>
        <v>2.0274613875748138E-3</v>
      </c>
      <c r="BD202" s="213">
        <f t="shared" si="15"/>
        <v>1.8177331797992746E-3</v>
      </c>
      <c r="BE202" s="213">
        <f t="shared" si="15"/>
        <v>1.7077035492318871E-3</v>
      </c>
      <c r="BF202" s="213">
        <f t="shared" si="15"/>
        <v>1.5818505192239929E-3</v>
      </c>
    </row>
    <row r="203" spans="1:58" x14ac:dyDescent="0.2">
      <c r="A203" s="310" t="s">
        <v>1078</v>
      </c>
      <c r="B203" s="311"/>
      <c r="C203" s="312"/>
      <c r="D203" s="213">
        <f t="shared" ref="D203:AI203" si="16">SUM(D$24:D$99,D$118:D$193)/SUM(C$24:C$99,C$118:C$193)-1</f>
        <v>1.3205635375206359E-2</v>
      </c>
      <c r="E203" s="213">
        <f t="shared" si="16"/>
        <v>1.1868796502837009E-2</v>
      </c>
      <c r="F203" s="213">
        <f t="shared" si="16"/>
        <v>1.3339290839742057E-2</v>
      </c>
      <c r="G203" s="213">
        <f t="shared" si="16"/>
        <v>1.4247044154448663E-2</v>
      </c>
      <c r="H203" s="213">
        <f t="shared" si="16"/>
        <v>1.0736002026855873E-2</v>
      </c>
      <c r="I203" s="213">
        <f t="shared" si="16"/>
        <v>8.5340321592868307E-3</v>
      </c>
      <c r="J203" s="213">
        <f t="shared" si="16"/>
        <v>8.9899763035183877E-3</v>
      </c>
      <c r="K203" s="213">
        <f t="shared" si="16"/>
        <v>1.0124732675706349E-2</v>
      </c>
      <c r="L203" s="213">
        <f t="shared" si="16"/>
        <v>1.1577865161377821E-2</v>
      </c>
      <c r="M203" s="213">
        <f t="shared" si="16"/>
        <v>1.0941296683368185E-2</v>
      </c>
      <c r="N203" s="213">
        <f t="shared" si="16"/>
        <v>1.01074971615005E-2</v>
      </c>
      <c r="O203" s="213">
        <f t="shared" si="16"/>
        <v>1.0006357927154763E-2</v>
      </c>
      <c r="P203" s="213">
        <f t="shared" si="16"/>
        <v>1.0236578103709704E-2</v>
      </c>
      <c r="Q203" s="213">
        <f t="shared" si="16"/>
        <v>9.9014846968688008E-3</v>
      </c>
      <c r="R203" s="213">
        <f t="shared" si="16"/>
        <v>1.0015281961297751E-2</v>
      </c>
      <c r="S203" s="213">
        <f t="shared" si="16"/>
        <v>1.0457263635426317E-2</v>
      </c>
      <c r="T203" s="213">
        <f t="shared" si="16"/>
        <v>1.0754635640801258E-2</v>
      </c>
      <c r="U203" s="213">
        <f t="shared" si="16"/>
        <v>1.0251543914817862E-2</v>
      </c>
      <c r="V203" s="213">
        <f t="shared" si="16"/>
        <v>1.0127530945927443E-2</v>
      </c>
      <c r="W203" s="213">
        <f t="shared" si="16"/>
        <v>9.5857786219331054E-3</v>
      </c>
      <c r="X203" s="213">
        <f t="shared" si="16"/>
        <v>8.9558454283789057E-3</v>
      </c>
      <c r="Y203" s="213">
        <f t="shared" si="16"/>
        <v>8.7306770644919318E-3</v>
      </c>
      <c r="Z203" s="213">
        <f t="shared" si="16"/>
        <v>8.5251409825333191E-3</v>
      </c>
      <c r="AA203" s="213">
        <f t="shared" si="16"/>
        <v>8.3671623482466373E-3</v>
      </c>
      <c r="AB203" s="213">
        <f t="shared" si="16"/>
        <v>8.1722974971896178E-3</v>
      </c>
      <c r="AC203" s="213">
        <f t="shared" si="16"/>
        <v>8.0168459404006409E-3</v>
      </c>
      <c r="AD203" s="213">
        <f t="shared" si="16"/>
        <v>7.8529459027045778E-3</v>
      </c>
      <c r="AE203" s="213">
        <f t="shared" si="16"/>
        <v>7.7108823495430912E-3</v>
      </c>
      <c r="AF203" s="213">
        <f t="shared" si="16"/>
        <v>7.5097110309056969E-3</v>
      </c>
      <c r="AG203" s="213">
        <f t="shared" si="16"/>
        <v>7.3217305411981126E-3</v>
      </c>
      <c r="AH203" s="213">
        <f t="shared" si="16"/>
        <v>7.1487638784077934E-3</v>
      </c>
      <c r="AI203" s="213">
        <f t="shared" si="16"/>
        <v>6.9432292858457867E-3</v>
      </c>
      <c r="AJ203" s="213">
        <f t="shared" ref="AJ203:BF203" si="17">SUM(AJ$24:AJ$99,AJ$118:AJ$193)/SUM(AI$24:AI$99,AI$118:AI$193)-1</f>
        <v>6.7282607000509476E-3</v>
      </c>
      <c r="AK203" s="213">
        <f t="shared" si="17"/>
        <v>6.5106788854389919E-3</v>
      </c>
      <c r="AL203" s="213">
        <f t="shared" si="17"/>
        <v>6.3080593208226787E-3</v>
      </c>
      <c r="AM203" s="213">
        <f t="shared" si="17"/>
        <v>6.0784296588913822E-3</v>
      </c>
      <c r="AN203" s="213">
        <f t="shared" si="17"/>
        <v>5.8744836752333551E-3</v>
      </c>
      <c r="AO203" s="213">
        <f t="shared" si="17"/>
        <v>5.6285907364665988E-3</v>
      </c>
      <c r="AP203" s="213">
        <f t="shared" si="17"/>
        <v>5.4382130542875995E-3</v>
      </c>
      <c r="AQ203" s="213">
        <f t="shared" si="17"/>
        <v>5.2038068719291175E-3</v>
      </c>
      <c r="AR203" s="213">
        <f t="shared" si="17"/>
        <v>5.021795100563331E-3</v>
      </c>
      <c r="AS203" s="213">
        <f t="shared" si="17"/>
        <v>4.8107002147483868E-3</v>
      </c>
      <c r="AT203" s="213">
        <f t="shared" si="17"/>
        <v>4.6719732092521671E-3</v>
      </c>
      <c r="AU203" s="213">
        <f t="shared" si="17"/>
        <v>4.5309028933708806E-3</v>
      </c>
      <c r="AV203" s="213">
        <f t="shared" si="17"/>
        <v>4.433346603497812E-3</v>
      </c>
      <c r="AW203" s="213">
        <f t="shared" si="17"/>
        <v>4.3536003320190364E-3</v>
      </c>
      <c r="AX203" s="213">
        <f t="shared" si="17"/>
        <v>4.2768771771783953E-3</v>
      </c>
      <c r="AY203" s="213">
        <f t="shared" si="17"/>
        <v>4.2422047943908581E-3</v>
      </c>
      <c r="AZ203" s="213">
        <f t="shared" si="17"/>
        <v>4.2386249564665412E-3</v>
      </c>
      <c r="BA203" s="213">
        <f t="shared" si="17"/>
        <v>4.2207348444203152E-3</v>
      </c>
      <c r="BB203" s="213">
        <f t="shared" si="17"/>
        <v>4.2192464267432062E-3</v>
      </c>
      <c r="BC203" s="213">
        <f t="shared" si="17"/>
        <v>4.2399538783643997E-3</v>
      </c>
      <c r="BD203" s="213">
        <f t="shared" si="17"/>
        <v>4.2462246268941684E-3</v>
      </c>
      <c r="BE203" s="213">
        <f t="shared" si="17"/>
        <v>4.2844334258016481E-3</v>
      </c>
      <c r="BF203" s="213">
        <f t="shared" si="17"/>
        <v>4.294117059628233E-3</v>
      </c>
    </row>
    <row r="204" spans="1:58" x14ac:dyDescent="0.2">
      <c r="A204" s="310" t="s">
        <v>214</v>
      </c>
      <c r="B204" s="311"/>
      <c r="C204" s="312"/>
      <c r="D204" s="213">
        <f t="shared" ref="D204:AI204" si="18">SUM(D$121:D$122)/SUM(C$121:C$122)-1</f>
        <v>3.1223628691983141E-2</v>
      </c>
      <c r="E204" s="213">
        <f t="shared" si="18"/>
        <v>3.3060556464811874E-2</v>
      </c>
      <c r="F204" s="213">
        <f t="shared" si="18"/>
        <v>2.8675538656527166E-2</v>
      </c>
      <c r="G204" s="213">
        <f t="shared" si="18"/>
        <v>-4.9283844139842437E-3</v>
      </c>
      <c r="H204" s="213">
        <f t="shared" si="18"/>
        <v>-2.1204147964711373E-2</v>
      </c>
      <c r="I204" s="213">
        <f t="shared" si="18"/>
        <v>-1.5970904490828608E-2</v>
      </c>
      <c r="J204" s="213">
        <f t="shared" si="18"/>
        <v>-1.2534147517274663E-2</v>
      </c>
      <c r="K204" s="213">
        <f t="shared" si="18"/>
        <v>-1.0414971521562233E-2</v>
      </c>
      <c r="L204" s="213">
        <f t="shared" si="18"/>
        <v>-1.8253576714356234E-2</v>
      </c>
      <c r="M204" s="213">
        <f t="shared" si="18"/>
        <v>-1.1390284757118896E-2</v>
      </c>
      <c r="N204" s="213">
        <f t="shared" si="18"/>
        <v>-1.3893595391392788E-2</v>
      </c>
      <c r="O204" s="213">
        <f t="shared" si="18"/>
        <v>6.529209621993104E-3</v>
      </c>
      <c r="P204" s="213">
        <f t="shared" si="18"/>
        <v>4.6090815978150346E-3</v>
      </c>
      <c r="Q204" s="213">
        <f t="shared" si="18"/>
        <v>-2.854715378079864E-2</v>
      </c>
      <c r="R204" s="213">
        <f t="shared" si="18"/>
        <v>-1.9240860591219211E-2</v>
      </c>
      <c r="S204" s="213">
        <f t="shared" si="18"/>
        <v>1.4267879436418829E-2</v>
      </c>
      <c r="T204" s="213">
        <f t="shared" si="18"/>
        <v>1.2132934763495751E-2</v>
      </c>
      <c r="U204" s="213">
        <f t="shared" si="18"/>
        <v>8.686587908269594E-3</v>
      </c>
      <c r="V204" s="213">
        <f t="shared" si="18"/>
        <v>3.3069238718566929E-2</v>
      </c>
      <c r="W204" s="213">
        <f t="shared" si="18"/>
        <v>3.3677892630876949E-2</v>
      </c>
      <c r="X204" s="213">
        <f t="shared" si="18"/>
        <v>1.7741935483870375E-3</v>
      </c>
      <c r="Y204" s="213">
        <f t="shared" si="18"/>
        <v>-1.6100466913540057E-3</v>
      </c>
      <c r="Z204" s="213">
        <f t="shared" si="18"/>
        <v>-8.0632156103854769E-4</v>
      </c>
      <c r="AA204" s="213">
        <f t="shared" si="18"/>
        <v>-2.3563589412524233E-2</v>
      </c>
      <c r="AB204" s="213">
        <f t="shared" si="18"/>
        <v>-1.2231404958677694E-2</v>
      </c>
      <c r="AC204" s="213">
        <f t="shared" si="18"/>
        <v>1.5060240963855609E-3</v>
      </c>
      <c r="AD204" s="213">
        <f t="shared" si="18"/>
        <v>3.5087719298245723E-3</v>
      </c>
      <c r="AE204" s="213">
        <f t="shared" si="18"/>
        <v>5.3280053280053696E-3</v>
      </c>
      <c r="AF204" s="213">
        <f t="shared" si="18"/>
        <v>5.7966213978137837E-3</v>
      </c>
      <c r="AG204" s="213">
        <f t="shared" si="18"/>
        <v>6.0925407541576604E-3</v>
      </c>
      <c r="AH204" s="213">
        <f t="shared" si="18"/>
        <v>6.0556464811782895E-3</v>
      </c>
      <c r="AI204" s="213">
        <f t="shared" si="18"/>
        <v>5.531153408166567E-3</v>
      </c>
      <c r="AJ204" s="213">
        <f t="shared" ref="AJ204:BF204" si="19">SUM(AJ$121:AJ$122)/SUM(AI$121:AI$122)-1</f>
        <v>4.8535835625302948E-3</v>
      </c>
      <c r="AK204" s="213">
        <f t="shared" si="19"/>
        <v>4.0251167283851252E-3</v>
      </c>
      <c r="AL204" s="213">
        <f t="shared" si="19"/>
        <v>3.3675432969852981E-3</v>
      </c>
      <c r="AM204" s="213">
        <f t="shared" si="19"/>
        <v>2.0776730062330717E-3</v>
      </c>
      <c r="AN204" s="213">
        <f t="shared" si="19"/>
        <v>1.4354066985646785E-3</v>
      </c>
      <c r="AO204" s="213">
        <f t="shared" si="19"/>
        <v>3.1852205765248165E-4</v>
      </c>
      <c r="AP204" s="213">
        <f t="shared" si="19"/>
        <v>-4.7763095048558579E-4</v>
      </c>
      <c r="AQ204" s="213">
        <f t="shared" si="19"/>
        <v>-1.1150047785919437E-3</v>
      </c>
      <c r="AR204" s="213">
        <f t="shared" si="19"/>
        <v>-1.7541062031574128E-3</v>
      </c>
      <c r="AS204" s="213">
        <f t="shared" si="19"/>
        <v>-2.3961661341852514E-3</v>
      </c>
      <c r="AT204" s="213">
        <f t="shared" si="19"/>
        <v>-2.5620496397117387E-3</v>
      </c>
      <c r="AU204" s="213">
        <f t="shared" si="19"/>
        <v>-2.5686305988119607E-3</v>
      </c>
      <c r="AV204" s="213">
        <f t="shared" si="19"/>
        <v>-2.2533397714469272E-3</v>
      </c>
      <c r="AW204" s="213">
        <f t="shared" si="19"/>
        <v>-1.6131634134537443E-3</v>
      </c>
      <c r="AX204" s="213">
        <f t="shared" si="19"/>
        <v>-4.8473097430923318E-4</v>
      </c>
      <c r="AY204" s="213">
        <f t="shared" si="19"/>
        <v>3.2331070158431174E-4</v>
      </c>
      <c r="AZ204" s="213">
        <f t="shared" si="19"/>
        <v>1.4544279250161551E-3</v>
      </c>
      <c r="BA204" s="213">
        <f t="shared" si="19"/>
        <v>2.2591576569308547E-3</v>
      </c>
      <c r="BB204" s="213">
        <f t="shared" si="19"/>
        <v>2.7370793753018763E-3</v>
      </c>
      <c r="BC204" s="213">
        <f t="shared" si="19"/>
        <v>3.2113037893384266E-3</v>
      </c>
      <c r="BD204" s="213">
        <f t="shared" si="19"/>
        <v>3.0409731113956173E-3</v>
      </c>
      <c r="BE204" s="213">
        <f t="shared" si="19"/>
        <v>3.0317536301260883E-3</v>
      </c>
      <c r="BF204" s="213">
        <f t="shared" si="19"/>
        <v>2.8635062042634551E-3</v>
      </c>
    </row>
    <row r="205" spans="1:58" x14ac:dyDescent="0.2">
      <c r="A205" s="310" t="s">
        <v>221</v>
      </c>
      <c r="B205" s="311"/>
      <c r="C205" s="312"/>
      <c r="D205" s="213">
        <f t="shared" ref="D205:AI205" si="20">SUM(D$123:D$127)/SUM(C$123:C$127)-1</f>
        <v>3.5775713794290454E-3</v>
      </c>
      <c r="E205" s="213">
        <f t="shared" si="20"/>
        <v>6.5812024405291769E-3</v>
      </c>
      <c r="F205" s="213">
        <f t="shared" si="20"/>
        <v>1.7230811142137092E-2</v>
      </c>
      <c r="G205" s="213">
        <f t="shared" si="20"/>
        <v>2.9994643813604727E-2</v>
      </c>
      <c r="H205" s="213">
        <f t="shared" si="20"/>
        <v>2.3530941237649428E-2</v>
      </c>
      <c r="I205" s="213">
        <f t="shared" si="20"/>
        <v>1.2511113933697526E-2</v>
      </c>
      <c r="J205" s="213">
        <f t="shared" si="20"/>
        <v>4.9551527316062938E-3</v>
      </c>
      <c r="K205" s="213">
        <f t="shared" si="20"/>
        <v>3.1207090250906511E-4</v>
      </c>
      <c r="L205" s="213">
        <f t="shared" si="20"/>
        <v>-6.4890497285829962E-3</v>
      </c>
      <c r="M205" s="213">
        <f t="shared" si="20"/>
        <v>-1.3125667273754971E-2</v>
      </c>
      <c r="N205" s="213">
        <f t="shared" si="20"/>
        <v>-1.0118365788468919E-2</v>
      </c>
      <c r="O205" s="213">
        <f t="shared" si="20"/>
        <v>-1.099324975891991E-2</v>
      </c>
      <c r="P205" s="213">
        <f t="shared" si="20"/>
        <v>-1.1895475819032719E-2</v>
      </c>
      <c r="Q205" s="213">
        <f t="shared" si="20"/>
        <v>-5.8548779685546615E-3</v>
      </c>
      <c r="R205" s="213">
        <f t="shared" si="20"/>
        <v>-6.9481206987824784E-3</v>
      </c>
      <c r="S205" s="213">
        <f t="shared" si="20"/>
        <v>-9.9286999400279852E-3</v>
      </c>
      <c r="T205" s="213">
        <f t="shared" si="20"/>
        <v>-9.6917485529680603E-3</v>
      </c>
      <c r="U205" s="213">
        <f t="shared" si="20"/>
        <v>8.1554981650122649E-4</v>
      </c>
      <c r="V205" s="213">
        <f t="shared" si="20"/>
        <v>-7.7414097514599822E-3</v>
      </c>
      <c r="W205" s="213">
        <f t="shared" si="20"/>
        <v>2.4637284423760786E-3</v>
      </c>
      <c r="X205" s="213">
        <f t="shared" si="20"/>
        <v>1.6794101583833987E-2</v>
      </c>
      <c r="Y205" s="213">
        <f t="shared" si="20"/>
        <v>2.336511346851089E-2</v>
      </c>
      <c r="Z205" s="213">
        <f t="shared" si="20"/>
        <v>1.1547041070725683E-2</v>
      </c>
      <c r="AA205" s="213">
        <f t="shared" si="20"/>
        <v>1.7511998962251862E-2</v>
      </c>
      <c r="AB205" s="213">
        <f t="shared" si="20"/>
        <v>7.6491585925548833E-3</v>
      </c>
      <c r="AC205" s="213">
        <f t="shared" si="20"/>
        <v>-4.3016194331984003E-3</v>
      </c>
      <c r="AD205" s="213">
        <f t="shared" si="20"/>
        <v>-9.9110546378653464E-3</v>
      </c>
      <c r="AE205" s="213">
        <f t="shared" si="20"/>
        <v>-4.4276180698151757E-3</v>
      </c>
      <c r="AF205" s="213">
        <f t="shared" si="20"/>
        <v>-7.9922655494683026E-3</v>
      </c>
      <c r="AG205" s="213">
        <f t="shared" si="20"/>
        <v>-2.274056266649338E-3</v>
      </c>
      <c r="AH205" s="213">
        <f t="shared" si="20"/>
        <v>3.842146392289747E-3</v>
      </c>
      <c r="AI205" s="213">
        <f t="shared" si="20"/>
        <v>4.8653908530651435E-3</v>
      </c>
      <c r="AJ205" s="213">
        <f t="shared" ref="AJ205:BF205" si="21">SUM(AJ$123:AJ$127)/SUM(AI$123:AI$127)-1</f>
        <v>5.6165267914782824E-3</v>
      </c>
      <c r="AK205" s="213">
        <f t="shared" si="21"/>
        <v>5.6493548180009956E-3</v>
      </c>
      <c r="AL205" s="213">
        <f t="shared" si="21"/>
        <v>5.489945738908375E-3</v>
      </c>
      <c r="AM205" s="213">
        <f t="shared" si="21"/>
        <v>5.0155545679639868E-3</v>
      </c>
      <c r="AN205" s="213">
        <f t="shared" si="21"/>
        <v>4.2324699936828747E-3</v>
      </c>
      <c r="AO205" s="213">
        <f t="shared" si="21"/>
        <v>3.5855821853179037E-3</v>
      </c>
      <c r="AP205" s="213">
        <f t="shared" si="21"/>
        <v>2.6325686348251942E-3</v>
      </c>
      <c r="AQ205" s="213">
        <f t="shared" si="21"/>
        <v>1.750437609402411E-3</v>
      </c>
      <c r="AR205" s="213">
        <f t="shared" si="21"/>
        <v>8.7368946580124174E-4</v>
      </c>
      <c r="AS205" s="213">
        <f t="shared" si="21"/>
        <v>-6.2351914203784276E-5</v>
      </c>
      <c r="AT205" s="213">
        <f t="shared" si="21"/>
        <v>-5.6120221986655228E-4</v>
      </c>
      <c r="AU205" s="213">
        <f t="shared" si="21"/>
        <v>-1.3725979535812449E-3</v>
      </c>
      <c r="AV205" s="213">
        <f t="shared" si="21"/>
        <v>-1.9367737098587856E-3</v>
      </c>
      <c r="AW205" s="213">
        <f t="shared" si="21"/>
        <v>-2.1909233176838905E-3</v>
      </c>
      <c r="AX205" s="213">
        <f t="shared" si="21"/>
        <v>-2.2584692597239497E-3</v>
      </c>
      <c r="AY205" s="213">
        <f t="shared" si="21"/>
        <v>-2.1378269617706724E-3</v>
      </c>
      <c r="AZ205" s="213">
        <f t="shared" si="21"/>
        <v>-1.575299306868283E-3</v>
      </c>
      <c r="BA205" s="213">
        <f t="shared" si="21"/>
        <v>-9.4667087409272543E-4</v>
      </c>
      <c r="BB205" s="213">
        <f t="shared" si="21"/>
        <v>-6.3171193935618319E-5</v>
      </c>
      <c r="BC205" s="213">
        <f t="shared" si="21"/>
        <v>8.8445258702374296E-4</v>
      </c>
      <c r="BD205" s="213">
        <f t="shared" si="21"/>
        <v>1.5779839676828278E-3</v>
      </c>
      <c r="BE205" s="213">
        <f t="shared" si="21"/>
        <v>2.2687169145449992E-3</v>
      </c>
      <c r="BF205" s="213">
        <f t="shared" si="21"/>
        <v>2.7037223340040661E-3</v>
      </c>
    </row>
    <row r="206" spans="1:58" x14ac:dyDescent="0.2">
      <c r="A206" s="310" t="s">
        <v>223</v>
      </c>
      <c r="B206" s="311"/>
      <c r="C206" s="312"/>
      <c r="D206" s="213">
        <f t="shared" ref="D206:AI206" si="22">SUM(D$128:D$132)/SUM(C$128:C$132)-1</f>
        <v>1.7440119760478989E-2</v>
      </c>
      <c r="E206" s="213">
        <f t="shared" si="22"/>
        <v>2.2511586846170717E-2</v>
      </c>
      <c r="F206" s="213">
        <f t="shared" si="22"/>
        <v>2.1728181883588826E-2</v>
      </c>
      <c r="G206" s="213">
        <f t="shared" si="22"/>
        <v>2.2744877121329443E-2</v>
      </c>
      <c r="H206" s="213">
        <f t="shared" si="22"/>
        <v>1.377031120903327E-2</v>
      </c>
      <c r="I206" s="213">
        <f t="shared" si="22"/>
        <v>7.9462102689487057E-3</v>
      </c>
      <c r="J206" s="213">
        <f t="shared" si="22"/>
        <v>1.2398086382319207E-2</v>
      </c>
      <c r="K206" s="213">
        <f t="shared" si="22"/>
        <v>1.9500831946755337E-2</v>
      </c>
      <c r="L206" s="213">
        <f t="shared" si="22"/>
        <v>2.9964747356051813E-2</v>
      </c>
      <c r="M206" s="213">
        <f t="shared" si="22"/>
        <v>2.8585916207136908E-2</v>
      </c>
      <c r="N206" s="213">
        <f t="shared" si="22"/>
        <v>2.1567660833127889E-2</v>
      </c>
      <c r="O206" s="213">
        <f t="shared" si="22"/>
        <v>1.1883218723609534E-2</v>
      </c>
      <c r="P206" s="213">
        <f t="shared" si="22"/>
        <v>3.2190760059611634E-3</v>
      </c>
      <c r="Q206" s="213">
        <f t="shared" si="22"/>
        <v>-6.1203874264662561E-3</v>
      </c>
      <c r="R206" s="213">
        <f t="shared" si="22"/>
        <v>-1.2495515963171111E-2</v>
      </c>
      <c r="S206" s="213">
        <f t="shared" si="22"/>
        <v>-9.4448144336138906E-3</v>
      </c>
      <c r="T206" s="213">
        <f t="shared" si="22"/>
        <v>-1.0512804840779877E-2</v>
      </c>
      <c r="U206" s="213">
        <f t="shared" si="22"/>
        <v>-1.124220149484223E-2</v>
      </c>
      <c r="V206" s="213">
        <f t="shared" si="22"/>
        <v>-5.5600674704816555E-3</v>
      </c>
      <c r="W206" s="213">
        <f t="shared" si="22"/>
        <v>-6.4706621434853506E-3</v>
      </c>
      <c r="X206" s="213">
        <f t="shared" si="22"/>
        <v>-9.4214353461903322E-3</v>
      </c>
      <c r="Y206" s="213">
        <f t="shared" si="22"/>
        <v>-9.1918805055534181E-3</v>
      </c>
      <c r="Z206" s="213">
        <f t="shared" si="22"/>
        <v>8.3752093802336169E-4</v>
      </c>
      <c r="AA206" s="213">
        <f t="shared" si="22"/>
        <v>-7.2738976504667097E-3</v>
      </c>
      <c r="AB206" s="213">
        <f t="shared" si="22"/>
        <v>2.3343275839708966E-3</v>
      </c>
      <c r="AC206" s="213">
        <f t="shared" si="22"/>
        <v>1.5978781213611182E-2</v>
      </c>
      <c r="AD206" s="213">
        <f t="shared" si="22"/>
        <v>2.2094874243871354E-2</v>
      </c>
      <c r="AE206" s="213">
        <f t="shared" si="22"/>
        <v>1.1088960877149168E-2</v>
      </c>
      <c r="AF206" s="213">
        <f t="shared" si="22"/>
        <v>1.6451016635859572E-2</v>
      </c>
      <c r="AG206" s="213">
        <f t="shared" si="22"/>
        <v>7.3952839910287338E-3</v>
      </c>
      <c r="AH206" s="213">
        <f t="shared" si="22"/>
        <v>-4.151874360671548E-3</v>
      </c>
      <c r="AI206" s="213">
        <f t="shared" si="22"/>
        <v>-9.2447129909365433E-3</v>
      </c>
      <c r="AJ206" s="213">
        <f t="shared" ref="AJ206:BF206" si="23">SUM(AJ$128:AJ$132)/SUM(AI$128:AI$132)-1</f>
        <v>-4.3300603768982038E-3</v>
      </c>
      <c r="AK206" s="213">
        <f t="shared" si="23"/>
        <v>-7.4727428641431226E-3</v>
      </c>
      <c r="AL206" s="213">
        <f t="shared" si="23"/>
        <v>-2.2216736608244858E-3</v>
      </c>
      <c r="AM206" s="213">
        <f t="shared" si="23"/>
        <v>3.6491835724887789E-3</v>
      </c>
      <c r="AN206" s="213">
        <f t="shared" si="23"/>
        <v>4.7451777901028613E-3</v>
      </c>
      <c r="AO206" s="213">
        <f t="shared" si="23"/>
        <v>5.2134445534837148E-3</v>
      </c>
      <c r="AP206" s="213">
        <f t="shared" si="23"/>
        <v>5.5525047287814377E-3</v>
      </c>
      <c r="AQ206" s="213">
        <f t="shared" si="23"/>
        <v>5.0970873786406745E-3</v>
      </c>
      <c r="AR206" s="213">
        <f t="shared" si="23"/>
        <v>4.8297512678097121E-3</v>
      </c>
      <c r="AS206" s="213">
        <f t="shared" si="23"/>
        <v>4.0855563566450925E-3</v>
      </c>
      <c r="AT206" s="213">
        <f t="shared" si="23"/>
        <v>3.4107228338917661E-3</v>
      </c>
      <c r="AU206" s="213">
        <f t="shared" si="23"/>
        <v>2.504621623233394E-3</v>
      </c>
      <c r="AV206" s="213">
        <f t="shared" si="23"/>
        <v>1.606091249776842E-3</v>
      </c>
      <c r="AW206" s="213">
        <f t="shared" si="23"/>
        <v>9.5023161895713137E-4</v>
      </c>
      <c r="AX206" s="213">
        <f t="shared" si="23"/>
        <v>0</v>
      </c>
      <c r="AY206" s="213">
        <f t="shared" si="23"/>
        <v>-7.1199715201142322E-4</v>
      </c>
      <c r="AZ206" s="213">
        <f t="shared" si="23"/>
        <v>-1.2468827930174342E-3</v>
      </c>
      <c r="BA206" s="213">
        <f t="shared" si="23"/>
        <v>-1.7240354319005835E-3</v>
      </c>
      <c r="BB206" s="213">
        <f t="shared" si="23"/>
        <v>-2.0843258694616118E-3</v>
      </c>
      <c r="BC206" s="213">
        <f t="shared" si="23"/>
        <v>-2.1483559109626293E-3</v>
      </c>
      <c r="BD206" s="213">
        <f t="shared" si="23"/>
        <v>-2.0333712098559165E-3</v>
      </c>
      <c r="BE206" s="213">
        <f t="shared" si="23"/>
        <v>-1.558099119074674E-3</v>
      </c>
      <c r="BF206" s="213">
        <f t="shared" si="23"/>
        <v>-7.8026529019870061E-4</v>
      </c>
    </row>
    <row r="207" spans="1:58" x14ac:dyDescent="0.2">
      <c r="A207" s="310" t="s">
        <v>225</v>
      </c>
      <c r="B207" s="311"/>
      <c r="C207" s="312"/>
      <c r="D207" s="213">
        <f t="shared" ref="D207:AI207" si="24">SUM(D$133:D$137)/SUM(C$133:C$137)-1</f>
        <v>-2.9527690560491648E-2</v>
      </c>
      <c r="E207" s="213">
        <f t="shared" si="24"/>
        <v>-2.6502374888139335E-2</v>
      </c>
      <c r="F207" s="213">
        <f t="shared" si="24"/>
        <v>-1.0535992080328072E-2</v>
      </c>
      <c r="G207" s="213">
        <f t="shared" si="24"/>
        <v>5.002501250626068E-4</v>
      </c>
      <c r="H207" s="213">
        <f t="shared" si="24"/>
        <v>9.2857142857143415E-3</v>
      </c>
      <c r="I207" s="213">
        <f t="shared" si="24"/>
        <v>1.3446567586695046E-2</v>
      </c>
      <c r="J207" s="213">
        <f t="shared" si="24"/>
        <v>2.2206703910614634E-2</v>
      </c>
      <c r="K207" s="213">
        <f t="shared" si="24"/>
        <v>1.9264926902582413E-2</v>
      </c>
      <c r="L207" s="213">
        <f t="shared" si="24"/>
        <v>2.0978552278820395E-2</v>
      </c>
      <c r="M207" s="213">
        <f t="shared" si="24"/>
        <v>2.0416201667432521E-2</v>
      </c>
      <c r="N207" s="213">
        <f t="shared" si="24"/>
        <v>1.4796706124549752E-2</v>
      </c>
      <c r="O207" s="213">
        <f t="shared" si="24"/>
        <v>1.7940915430455284E-2</v>
      </c>
      <c r="P207" s="213">
        <f t="shared" si="24"/>
        <v>2.0863174939278917E-2</v>
      </c>
      <c r="Q207" s="213">
        <f t="shared" si="24"/>
        <v>2.8123474865788145E-2</v>
      </c>
      <c r="R207" s="213">
        <f t="shared" si="24"/>
        <v>2.6701477481753999E-2</v>
      </c>
      <c r="S207" s="213">
        <f t="shared" si="24"/>
        <v>2.0169912731896167E-2</v>
      </c>
      <c r="T207" s="213">
        <f t="shared" si="24"/>
        <v>1.1216859279401747E-2</v>
      </c>
      <c r="U207" s="213">
        <f t="shared" si="24"/>
        <v>2.9691876750699286E-3</v>
      </c>
      <c r="V207" s="213">
        <f t="shared" si="24"/>
        <v>-5.7532257163603884E-3</v>
      </c>
      <c r="W207" s="213">
        <f t="shared" si="24"/>
        <v>-1.1573033707865221E-2</v>
      </c>
      <c r="X207" s="213">
        <f t="shared" si="24"/>
        <v>-8.9803342048425661E-3</v>
      </c>
      <c r="Y207" s="213">
        <f t="shared" si="24"/>
        <v>-9.692590043588023E-3</v>
      </c>
      <c r="Z207" s="213">
        <f t="shared" si="24"/>
        <v>-1.0540337059130156E-2</v>
      </c>
      <c r="AA207" s="213">
        <f t="shared" si="24"/>
        <v>-5.1507170032192295E-3</v>
      </c>
      <c r="AB207" s="213">
        <f t="shared" si="24"/>
        <v>-6.0598929222803743E-3</v>
      </c>
      <c r="AC207" s="213">
        <f t="shared" si="24"/>
        <v>-8.8196993015271508E-3</v>
      </c>
      <c r="AD207" s="213">
        <f t="shared" si="24"/>
        <v>-8.4801433263660408E-3</v>
      </c>
      <c r="AE207" s="213">
        <f t="shared" si="24"/>
        <v>7.227609468167806E-4</v>
      </c>
      <c r="AF207" s="213">
        <f t="shared" si="24"/>
        <v>-6.7408967800181019E-3</v>
      </c>
      <c r="AG207" s="213">
        <f t="shared" si="24"/>
        <v>2.2420166030419075E-3</v>
      </c>
      <c r="AH207" s="213">
        <f t="shared" si="24"/>
        <v>1.4933494558645677E-2</v>
      </c>
      <c r="AI207" s="213">
        <f t="shared" si="24"/>
        <v>2.0670757133496087E-2</v>
      </c>
      <c r="AJ207" s="213">
        <f t="shared" ref="AJ207:BF207" si="25">SUM(AJ$133:AJ$137)/SUM(AI$133:AI$137)-1</f>
        <v>1.0330337340959561E-2</v>
      </c>
      <c r="AK207" s="213">
        <f t="shared" si="25"/>
        <v>1.5481485760499014E-2</v>
      </c>
      <c r="AL207" s="213">
        <f t="shared" si="25"/>
        <v>6.8832129245122164E-3</v>
      </c>
      <c r="AM207" s="213">
        <f t="shared" si="25"/>
        <v>-3.8418079096045332E-3</v>
      </c>
      <c r="AN207" s="213">
        <f t="shared" si="25"/>
        <v>-8.6774047186932712E-3</v>
      </c>
      <c r="AO207" s="213">
        <f t="shared" si="25"/>
        <v>-3.9475942559642485E-3</v>
      </c>
      <c r="AP207" s="213">
        <f t="shared" si="25"/>
        <v>-7.0074669730040284E-3</v>
      </c>
      <c r="AQ207" s="213">
        <f t="shared" si="25"/>
        <v>-2.0245256825544011E-3</v>
      </c>
      <c r="AR207" s="213">
        <f t="shared" si="25"/>
        <v>3.4776560598157591E-3</v>
      </c>
      <c r="AS207" s="213">
        <f t="shared" si="25"/>
        <v>4.3320048518453724E-3</v>
      </c>
      <c r="AT207" s="213">
        <f t="shared" si="25"/>
        <v>5.0609615827006404E-3</v>
      </c>
      <c r="AU207" s="213">
        <f t="shared" si="25"/>
        <v>5.0926985580224127E-3</v>
      </c>
      <c r="AV207" s="213">
        <f t="shared" si="25"/>
        <v>4.8961001992597897E-3</v>
      </c>
      <c r="AW207" s="213">
        <f t="shared" si="25"/>
        <v>4.5323211149510545E-3</v>
      </c>
      <c r="AX207" s="213">
        <f t="shared" si="25"/>
        <v>3.7786926851277602E-3</v>
      </c>
      <c r="AY207" s="213">
        <f t="shared" si="25"/>
        <v>3.2026070344981505E-3</v>
      </c>
      <c r="AZ207" s="213">
        <f t="shared" si="25"/>
        <v>2.4082889946792641E-3</v>
      </c>
      <c r="BA207" s="213">
        <f t="shared" si="25"/>
        <v>1.5644206056542043E-3</v>
      </c>
      <c r="BB207" s="213">
        <f t="shared" si="25"/>
        <v>8.3677340176291359E-4</v>
      </c>
      <c r="BC207" s="213">
        <f t="shared" si="25"/>
        <v>5.5738253163184481E-5</v>
      </c>
      <c r="BD207" s="213">
        <f t="shared" si="25"/>
        <v>-5.573514658343548E-4</v>
      </c>
      <c r="BE207" s="213">
        <f t="shared" si="25"/>
        <v>-1.1710907874191712E-3</v>
      </c>
      <c r="BF207" s="213">
        <f t="shared" si="25"/>
        <v>-1.6749483557589873E-3</v>
      </c>
    </row>
    <row r="208" spans="1:58" x14ac:dyDescent="0.2">
      <c r="A208" s="310" t="s">
        <v>226</v>
      </c>
      <c r="B208" s="311"/>
      <c r="C208" s="312"/>
      <c r="D208" s="213">
        <f t="shared" ref="D208:AI208" si="26">SUM(D$138:D$142)/SUM(C$138:C$142)-1</f>
        <v>7.2206584261411688E-3</v>
      </c>
      <c r="E208" s="213">
        <f t="shared" si="26"/>
        <v>-5.346294046172595E-3</v>
      </c>
      <c r="F208" s="213">
        <f t="shared" si="26"/>
        <v>-1.3498656242365015E-2</v>
      </c>
      <c r="G208" s="213">
        <f t="shared" si="26"/>
        <v>-1.9874930344870312E-2</v>
      </c>
      <c r="H208" s="213">
        <f t="shared" si="26"/>
        <v>-3.8029058749210365E-2</v>
      </c>
      <c r="I208" s="213">
        <f t="shared" si="26"/>
        <v>-3.6708694510112938E-2</v>
      </c>
      <c r="J208" s="213">
        <f t="shared" si="26"/>
        <v>-2.9313518303906161E-2</v>
      </c>
      <c r="K208" s="213">
        <f t="shared" si="26"/>
        <v>-1.2922255776388836E-2</v>
      </c>
      <c r="L208" s="213">
        <f t="shared" si="26"/>
        <v>-7.1149057274988436E-4</v>
      </c>
      <c r="M208" s="213">
        <f t="shared" si="26"/>
        <v>1.1961552153791466E-2</v>
      </c>
      <c r="N208" s="213">
        <f t="shared" si="26"/>
        <v>1.7730246957011087E-2</v>
      </c>
      <c r="O208" s="213">
        <f t="shared" si="26"/>
        <v>2.5648116142412691E-2</v>
      </c>
      <c r="P208" s="213">
        <f t="shared" si="26"/>
        <v>2.0558101914262661E-2</v>
      </c>
      <c r="Q208" s="213">
        <f t="shared" si="26"/>
        <v>2.0606300772736175E-2</v>
      </c>
      <c r="R208" s="213">
        <f t="shared" si="26"/>
        <v>2.0125541965961391E-2</v>
      </c>
      <c r="S208" s="213">
        <f t="shared" si="26"/>
        <v>1.4653641207815316E-2</v>
      </c>
      <c r="T208" s="213">
        <f t="shared" si="26"/>
        <v>1.7567989996873923E-2</v>
      </c>
      <c r="U208" s="213">
        <f t="shared" si="26"/>
        <v>2.0705333005652582E-2</v>
      </c>
      <c r="V208" s="213">
        <f t="shared" si="26"/>
        <v>2.7568771444049789E-2</v>
      </c>
      <c r="W208" s="213">
        <f t="shared" si="26"/>
        <v>2.6360494405717194E-2</v>
      </c>
      <c r="X208" s="213">
        <f t="shared" si="26"/>
        <v>1.9918954397579958E-2</v>
      </c>
      <c r="Y208" s="213">
        <f t="shared" si="26"/>
        <v>1.1080022383883614E-2</v>
      </c>
      <c r="Z208" s="213">
        <f t="shared" si="26"/>
        <v>2.933362851450072E-3</v>
      </c>
      <c r="AA208" s="213">
        <f t="shared" si="26"/>
        <v>-5.5736438386402298E-3</v>
      </c>
      <c r="AB208" s="213">
        <f t="shared" si="26"/>
        <v>-1.1487236403995515E-2</v>
      </c>
      <c r="AC208" s="213">
        <f t="shared" si="26"/>
        <v>-8.5892325829450833E-3</v>
      </c>
      <c r="AD208" s="213">
        <f t="shared" si="26"/>
        <v>-9.7395243488108685E-3</v>
      </c>
      <c r="AE208" s="213">
        <f t="shared" si="26"/>
        <v>-1.0235590118938709E-2</v>
      </c>
      <c r="AF208" s="213">
        <f t="shared" si="26"/>
        <v>-5.1418337281182724E-3</v>
      </c>
      <c r="AG208" s="213">
        <f t="shared" si="26"/>
        <v>-5.9233449477351652E-3</v>
      </c>
      <c r="AH208" s="213">
        <f t="shared" si="26"/>
        <v>-8.5874518051174409E-3</v>
      </c>
      <c r="AI208" s="213">
        <f t="shared" si="26"/>
        <v>-8.3672146603028796E-3</v>
      </c>
      <c r="AJ208" s="213">
        <f t="shared" ref="AJ208:BF208" si="27">SUM(AJ$138:AJ$142)/SUM(AI$138:AI$142)-1</f>
        <v>8.3189732010224837E-4</v>
      </c>
      <c r="AK208" s="213">
        <f t="shared" si="27"/>
        <v>-6.7090185833877936E-3</v>
      </c>
      <c r="AL208" s="213">
        <f t="shared" si="27"/>
        <v>2.2713687985653763E-3</v>
      </c>
      <c r="AM208" s="213">
        <f t="shared" si="27"/>
        <v>1.4670801526717625E-2</v>
      </c>
      <c r="AN208" s="213">
        <f t="shared" si="27"/>
        <v>2.0453743975549443E-2</v>
      </c>
      <c r="AO208" s="213">
        <f t="shared" si="27"/>
        <v>1.0194678032484639E-2</v>
      </c>
      <c r="AP208" s="213">
        <f t="shared" si="27"/>
        <v>1.5337248417811811E-2</v>
      </c>
      <c r="AQ208" s="213">
        <f t="shared" si="27"/>
        <v>6.794699011680061E-3</v>
      </c>
      <c r="AR208" s="213">
        <f t="shared" si="27"/>
        <v>-3.6811869038987366E-3</v>
      </c>
      <c r="AS208" s="213">
        <f t="shared" si="27"/>
        <v>-8.6211722555001868E-3</v>
      </c>
      <c r="AT208" s="213">
        <f t="shared" si="27"/>
        <v>-3.8963239031001295E-3</v>
      </c>
      <c r="AU208" s="213">
        <f t="shared" si="27"/>
        <v>-6.8594104308390413E-3</v>
      </c>
      <c r="AV208" s="213">
        <f t="shared" si="27"/>
        <v>-1.8836691591985755E-3</v>
      </c>
      <c r="AW208" s="213">
        <f t="shared" si="27"/>
        <v>3.3741278737275948E-3</v>
      </c>
      <c r="AX208" s="213">
        <f t="shared" si="27"/>
        <v>4.3317184383016016E-3</v>
      </c>
      <c r="AY208" s="213">
        <f t="shared" si="27"/>
        <v>4.9372907326485915E-3</v>
      </c>
      <c r="AZ208" s="213">
        <f t="shared" si="27"/>
        <v>5.0824486107974298E-3</v>
      </c>
      <c r="BA208" s="213">
        <f t="shared" si="27"/>
        <v>4.8320035959097396E-3</v>
      </c>
      <c r="BB208" s="213">
        <f t="shared" si="27"/>
        <v>4.4732721986133761E-3</v>
      </c>
      <c r="BC208" s="213">
        <f t="shared" si="27"/>
        <v>3.8410153640615619E-3</v>
      </c>
      <c r="BD208" s="213">
        <f t="shared" si="27"/>
        <v>3.1608717351521154E-3</v>
      </c>
      <c r="BE208" s="213">
        <f t="shared" si="27"/>
        <v>2.3217247097844229E-3</v>
      </c>
      <c r="BF208" s="213">
        <f t="shared" si="27"/>
        <v>1.6545334215751772E-3</v>
      </c>
    </row>
    <row r="209" spans="1:58" x14ac:dyDescent="0.2">
      <c r="A209" s="310" t="s">
        <v>229</v>
      </c>
      <c r="B209" s="311"/>
      <c r="C209" s="312"/>
      <c r="D209" s="213">
        <f t="shared" ref="D209:AI209" si="28">SUM(D$143:D$147)/SUM(C$143:C$147)-1</f>
        <v>-1.026780353068335E-2</v>
      </c>
      <c r="E209" s="213">
        <f t="shared" si="28"/>
        <v>-1.2679730631559805E-2</v>
      </c>
      <c r="F209" s="213">
        <f t="shared" si="28"/>
        <v>-3.7483101880300129E-3</v>
      </c>
      <c r="G209" s="213">
        <f t="shared" si="28"/>
        <v>1.6653302905076384E-3</v>
      </c>
      <c r="H209" s="213">
        <f t="shared" si="28"/>
        <v>7.0812807881772688E-3</v>
      </c>
      <c r="I209" s="213">
        <f t="shared" si="28"/>
        <v>1.8954448180983352E-3</v>
      </c>
      <c r="J209" s="213">
        <f t="shared" si="28"/>
        <v>-7.750518735505918E-3</v>
      </c>
      <c r="K209" s="213">
        <f t="shared" si="28"/>
        <v>-1.6667691739959412E-2</v>
      </c>
      <c r="L209" s="213">
        <f t="shared" si="28"/>
        <v>-2.1641230923192367E-2</v>
      </c>
      <c r="M209" s="213">
        <f t="shared" si="28"/>
        <v>-3.6312492008694575E-2</v>
      </c>
      <c r="N209" s="213">
        <f t="shared" si="28"/>
        <v>-3.3501393127238988E-2</v>
      </c>
      <c r="O209" s="213">
        <f t="shared" si="28"/>
        <v>-2.6563250737868027E-2</v>
      </c>
      <c r="P209" s="213">
        <f t="shared" si="28"/>
        <v>-1.1704978141305888E-2</v>
      </c>
      <c r="Q209" s="213">
        <f t="shared" si="28"/>
        <v>-7.1347031963475693E-4</v>
      </c>
      <c r="R209" s="213">
        <f t="shared" si="28"/>
        <v>1.1994859345994646E-2</v>
      </c>
      <c r="S209" s="213">
        <f t="shared" si="28"/>
        <v>1.78495837448851E-2</v>
      </c>
      <c r="T209" s="213">
        <f t="shared" si="28"/>
        <v>2.5715672003881584E-2</v>
      </c>
      <c r="U209" s="213">
        <f t="shared" si="28"/>
        <v>2.0610893363968152E-2</v>
      </c>
      <c r="V209" s="213">
        <f t="shared" si="28"/>
        <v>2.0525723366218607E-2</v>
      </c>
      <c r="W209" s="213">
        <f t="shared" si="28"/>
        <v>2.0177772010640416E-2</v>
      </c>
      <c r="X209" s="213">
        <f t="shared" si="28"/>
        <v>1.4690918341389025E-2</v>
      </c>
      <c r="Y209" s="213">
        <f t="shared" si="28"/>
        <v>1.7674710122218773E-2</v>
      </c>
      <c r="Z209" s="213">
        <f t="shared" si="28"/>
        <v>2.0693477859210496E-2</v>
      </c>
      <c r="AA209" s="213">
        <f t="shared" si="28"/>
        <v>2.7755988656248176E-2</v>
      </c>
      <c r="AB209" s="213">
        <f t="shared" si="28"/>
        <v>2.6301884576997558E-2</v>
      </c>
      <c r="AC209" s="213">
        <f t="shared" si="28"/>
        <v>1.9907327956066645E-2</v>
      </c>
      <c r="AD209" s="213">
        <f t="shared" si="28"/>
        <v>1.1049413876268899E-2</v>
      </c>
      <c r="AE209" s="213">
        <f t="shared" si="28"/>
        <v>3.1620991900587203E-3</v>
      </c>
      <c r="AF209" s="213">
        <f t="shared" si="28"/>
        <v>-5.5853564120997845E-3</v>
      </c>
      <c r="AG209" s="213">
        <f t="shared" si="28"/>
        <v>-1.1400289178066902E-2</v>
      </c>
      <c r="AH209" s="213">
        <f t="shared" si="28"/>
        <v>-8.6066265399110664E-3</v>
      </c>
      <c r="AI209" s="213">
        <f t="shared" si="28"/>
        <v>-9.5891965501588849E-3</v>
      </c>
      <c r="AJ209" s="213">
        <f t="shared" ref="AJ209:BF209" si="29">SUM(AJ$143:AJ$147)/SUM(AI$143:AI$147)-1</f>
        <v>-1.0312231452305975E-2</v>
      </c>
      <c r="AK209" s="213">
        <f t="shared" si="29"/>
        <v>-4.920405209840828E-3</v>
      </c>
      <c r="AL209" s="213">
        <f t="shared" si="29"/>
        <v>-5.8755090168702839E-3</v>
      </c>
      <c r="AM209" s="213">
        <f t="shared" si="29"/>
        <v>-8.5435075194569832E-3</v>
      </c>
      <c r="AN209" s="213">
        <f t="shared" si="29"/>
        <v>-8.3220208935843587E-3</v>
      </c>
      <c r="AO209" s="213">
        <f t="shared" si="29"/>
        <v>8.3323413879310415E-4</v>
      </c>
      <c r="AP209" s="213">
        <f t="shared" si="29"/>
        <v>-6.6008563273073362E-3</v>
      </c>
      <c r="AQ209" s="213">
        <f t="shared" si="29"/>
        <v>2.3346303501945442E-3</v>
      </c>
      <c r="AR209" s="213">
        <f t="shared" si="29"/>
        <v>1.4632107023411445E-2</v>
      </c>
      <c r="AS209" s="213">
        <f t="shared" si="29"/>
        <v>2.0424980869974796E-2</v>
      </c>
      <c r="AT209" s="213">
        <f t="shared" si="29"/>
        <v>1.0209967697277333E-2</v>
      </c>
      <c r="AU209" s="213">
        <f t="shared" si="29"/>
        <v>1.5417118711814171E-2</v>
      </c>
      <c r="AV209" s="213">
        <f t="shared" si="29"/>
        <v>6.9167182140246197E-3</v>
      </c>
      <c r="AW209" s="213">
        <f t="shared" si="29"/>
        <v>-3.7976097397520725E-3</v>
      </c>
      <c r="AX209" s="213">
        <f t="shared" si="29"/>
        <v>-8.4650745599282873E-3</v>
      </c>
      <c r="AY209" s="213">
        <f t="shared" si="29"/>
        <v>-3.8446316503646383E-3</v>
      </c>
      <c r="AZ209" s="213">
        <f t="shared" si="29"/>
        <v>-6.8675861286111584E-3</v>
      </c>
      <c r="BA209" s="213">
        <f t="shared" si="29"/>
        <v>-1.8287804320493706E-3</v>
      </c>
      <c r="BB209" s="213">
        <f t="shared" si="29"/>
        <v>3.3207374327264283E-3</v>
      </c>
      <c r="BC209" s="213">
        <f t="shared" si="29"/>
        <v>4.451038575667754E-3</v>
      </c>
      <c r="BD209" s="213">
        <f t="shared" si="29"/>
        <v>4.9426201568003592E-3</v>
      </c>
      <c r="BE209" s="213">
        <f t="shared" si="29"/>
        <v>5.0879077392729233E-3</v>
      </c>
      <c r="BF209" s="213">
        <f t="shared" si="29"/>
        <v>4.8934135778164745E-3</v>
      </c>
    </row>
    <row r="210" spans="1:58" x14ac:dyDescent="0.2">
      <c r="A210" s="310" t="s">
        <v>230</v>
      </c>
      <c r="B210" s="311"/>
      <c r="C210" s="312"/>
      <c r="D210" s="213">
        <f t="shared" ref="D210:AI210" si="30">SUM(D$148:D$152)/SUM(C$148:C$152)-1</f>
        <v>2.9029157321371457E-2</v>
      </c>
      <c r="E210" s="213">
        <f t="shared" si="30"/>
        <v>2.4473782538298572E-2</v>
      </c>
      <c r="F210" s="213">
        <f t="shared" si="30"/>
        <v>1.0212145158349006E-2</v>
      </c>
      <c r="G210" s="213">
        <f t="shared" si="30"/>
        <v>2.1060232264276113E-3</v>
      </c>
      <c r="H210" s="213">
        <f t="shared" si="30"/>
        <v>-1.0808214242824521E-2</v>
      </c>
      <c r="I210" s="213">
        <f t="shared" si="30"/>
        <v>-1.5114726235279874E-2</v>
      </c>
      <c r="J210" s="213">
        <f t="shared" si="30"/>
        <v>-1.4668721109399097E-2</v>
      </c>
      <c r="K210" s="213">
        <f t="shared" si="30"/>
        <v>-5.0666166260086021E-3</v>
      </c>
      <c r="L210" s="213">
        <f t="shared" si="30"/>
        <v>3.1434678737585209E-4</v>
      </c>
      <c r="M210" s="213">
        <f t="shared" si="30"/>
        <v>8.233297718559518E-3</v>
      </c>
      <c r="N210" s="213">
        <f t="shared" si="30"/>
        <v>4.301209325520583E-3</v>
      </c>
      <c r="O210" s="213">
        <f t="shared" si="30"/>
        <v>-5.7724536031282803E-3</v>
      </c>
      <c r="P210" s="213">
        <f t="shared" si="30"/>
        <v>-1.5919590460731659E-2</v>
      </c>
      <c r="Q210" s="213">
        <f t="shared" si="30"/>
        <v>-2.1759817293662387E-2</v>
      </c>
      <c r="R210" s="213">
        <f t="shared" si="30"/>
        <v>-3.6316472114137466E-2</v>
      </c>
      <c r="S210" s="213">
        <f t="shared" si="30"/>
        <v>-3.3781965006729475E-2</v>
      </c>
      <c r="T210" s="213">
        <f t="shared" si="30"/>
        <v>-2.6675024376654144E-2</v>
      </c>
      <c r="U210" s="213">
        <f t="shared" si="30"/>
        <v>-1.166368515205729E-2</v>
      </c>
      <c r="V210" s="213">
        <f t="shared" si="30"/>
        <v>-5.7920648711262679E-4</v>
      </c>
      <c r="W210" s="213">
        <f t="shared" si="30"/>
        <v>1.2315270935960632E-2</v>
      </c>
      <c r="X210" s="213">
        <f t="shared" si="30"/>
        <v>1.8033490768570193E-2</v>
      </c>
      <c r="Y210" s="213">
        <f t="shared" si="30"/>
        <v>2.6008716434696932E-2</v>
      </c>
      <c r="Z210" s="213">
        <f t="shared" si="30"/>
        <v>2.0964647848725759E-2</v>
      </c>
      <c r="AA210" s="213">
        <f t="shared" si="30"/>
        <v>2.080257683532416E-2</v>
      </c>
      <c r="AB210" s="213">
        <f t="shared" si="30"/>
        <v>2.0575861162240416E-2</v>
      </c>
      <c r="AC210" s="213">
        <f t="shared" si="30"/>
        <v>1.4814814814814836E-2</v>
      </c>
      <c r="AD210" s="213">
        <f t="shared" si="30"/>
        <v>1.7899079657251571E-2</v>
      </c>
      <c r="AE210" s="213">
        <f t="shared" si="30"/>
        <v>2.1013905343892247E-2</v>
      </c>
      <c r="AF210" s="213">
        <f t="shared" si="30"/>
        <v>2.7849028948332633E-2</v>
      </c>
      <c r="AG210" s="213">
        <f t="shared" si="30"/>
        <v>2.673796791443861E-2</v>
      </c>
      <c r="AH210" s="213">
        <f t="shared" si="30"/>
        <v>2.0196759259259345E-2</v>
      </c>
      <c r="AI210" s="213">
        <f t="shared" si="30"/>
        <v>1.1288218276703121E-2</v>
      </c>
      <c r="AJ210" s="213">
        <f t="shared" ref="AJ210:BF210" si="31">SUM(AJ$148:AJ$152)/SUM(AI$148:AI$152)-1</f>
        <v>3.1411263181513327E-3</v>
      </c>
      <c r="AK210" s="213">
        <f t="shared" si="31"/>
        <v>-5.5356743457839475E-3</v>
      </c>
      <c r="AL210" s="213">
        <f t="shared" si="31"/>
        <v>-1.1357885858869876E-2</v>
      </c>
      <c r="AM210" s="213">
        <f t="shared" si="31"/>
        <v>-8.7015867599385954E-3</v>
      </c>
      <c r="AN210" s="213">
        <f t="shared" si="31"/>
        <v>-9.4664371772805733E-3</v>
      </c>
      <c r="AO210" s="213">
        <f t="shared" si="31"/>
        <v>-1.0309875470605245E-2</v>
      </c>
      <c r="AP210" s="213">
        <f t="shared" si="31"/>
        <v>-4.9160180253994268E-3</v>
      </c>
      <c r="AQ210" s="213">
        <f t="shared" si="31"/>
        <v>-5.8813150620479204E-3</v>
      </c>
      <c r="AR210" s="213">
        <f t="shared" si="31"/>
        <v>-8.519197775542775E-3</v>
      </c>
      <c r="AS210" s="213">
        <f t="shared" si="31"/>
        <v>-8.3537203890446943E-3</v>
      </c>
      <c r="AT210" s="213">
        <f t="shared" si="31"/>
        <v>9.0258138275478572E-4</v>
      </c>
      <c r="AU210" s="213">
        <f t="shared" si="31"/>
        <v>-6.5528435734039103E-3</v>
      </c>
      <c r="AV210" s="213">
        <f t="shared" si="31"/>
        <v>2.4205748865355758E-3</v>
      </c>
      <c r="AW210" s="213">
        <f t="shared" si="31"/>
        <v>1.4790220344099048E-2</v>
      </c>
      <c r="AX210" s="213">
        <f t="shared" si="31"/>
        <v>2.0701963117192079E-2</v>
      </c>
      <c r="AY210" s="213">
        <f t="shared" si="31"/>
        <v>1.0374169483622797E-2</v>
      </c>
      <c r="AZ210" s="213">
        <f t="shared" si="31"/>
        <v>1.5574526995846716E-2</v>
      </c>
      <c r="BA210" s="213">
        <f t="shared" si="31"/>
        <v>6.8726570487334104E-3</v>
      </c>
      <c r="BB210" s="213">
        <f t="shared" si="31"/>
        <v>-3.6103119535172423E-3</v>
      </c>
      <c r="BC210" s="213">
        <f t="shared" si="31"/>
        <v>-8.5489441204777972E-3</v>
      </c>
      <c r="BD210" s="213">
        <f t="shared" si="31"/>
        <v>-3.8259479214253211E-3</v>
      </c>
      <c r="BE210" s="213">
        <f t="shared" si="31"/>
        <v>-6.7641157924906992E-3</v>
      </c>
      <c r="BF210" s="213">
        <f t="shared" si="31"/>
        <v>-1.9045420442084238E-3</v>
      </c>
    </row>
    <row r="211" spans="1:58" x14ac:dyDescent="0.2">
      <c r="A211" s="310" t="s">
        <v>231</v>
      </c>
      <c r="B211" s="311"/>
      <c r="C211" s="312"/>
      <c r="D211" s="213">
        <f t="shared" ref="D211:AI211" si="32">SUM(D$153:D$157)/SUM(C$153:C$157)-1</f>
        <v>2.5573917595154372E-2</v>
      </c>
      <c r="E211" s="213">
        <f t="shared" si="32"/>
        <v>2.6686110098432358E-2</v>
      </c>
      <c r="F211" s="213">
        <f t="shared" si="32"/>
        <v>2.8123002627654214E-2</v>
      </c>
      <c r="G211" s="213">
        <f t="shared" si="32"/>
        <v>2.8113559439110203E-2</v>
      </c>
      <c r="H211" s="213">
        <f t="shared" si="32"/>
        <v>2.8083848427842062E-2</v>
      </c>
      <c r="I211" s="213">
        <f t="shared" si="32"/>
        <v>2.6597830348974005E-2</v>
      </c>
      <c r="J211" s="213">
        <f t="shared" si="32"/>
        <v>2.3298745941816801E-2</v>
      </c>
      <c r="K211" s="213">
        <f t="shared" si="32"/>
        <v>9.4556765163296141E-3</v>
      </c>
      <c r="L211" s="213">
        <f t="shared" si="32"/>
        <v>9.2438528378635532E-4</v>
      </c>
      <c r="M211" s="213">
        <f t="shared" si="32"/>
        <v>-1.0220416204900884E-2</v>
      </c>
      <c r="N211" s="213">
        <f t="shared" si="32"/>
        <v>-1.324956456830062E-2</v>
      </c>
      <c r="O211" s="213">
        <f t="shared" si="32"/>
        <v>-1.2986194288596153E-2</v>
      </c>
      <c r="P211" s="213">
        <f t="shared" si="32"/>
        <v>-4.2153669285304174E-3</v>
      </c>
      <c r="Q211" s="213">
        <f t="shared" si="32"/>
        <v>4.4897697389512103E-4</v>
      </c>
      <c r="R211" s="213">
        <f t="shared" si="32"/>
        <v>8.6549557635593466E-3</v>
      </c>
      <c r="S211" s="213">
        <f t="shared" si="32"/>
        <v>4.576368143392795E-3</v>
      </c>
      <c r="T211" s="213">
        <f t="shared" si="32"/>
        <v>-5.694400506168984E-3</v>
      </c>
      <c r="U211" s="213">
        <f t="shared" si="32"/>
        <v>-1.5908367801463541E-2</v>
      </c>
      <c r="V211" s="213">
        <f t="shared" si="32"/>
        <v>-2.1791141286776616E-2</v>
      </c>
      <c r="W211" s="213">
        <f t="shared" si="32"/>
        <v>-3.6620835536752994E-2</v>
      </c>
      <c r="X211" s="213">
        <f t="shared" si="32"/>
        <v>-3.3964594483326449E-2</v>
      </c>
      <c r="Y211" s="213">
        <f t="shared" si="32"/>
        <v>-2.6919525534483957E-2</v>
      </c>
      <c r="Z211" s="213">
        <f t="shared" si="32"/>
        <v>-1.1678832116788329E-2</v>
      </c>
      <c r="AA211" s="213">
        <f t="shared" si="32"/>
        <v>-2.2156573116693945E-4</v>
      </c>
      <c r="AB211" s="213">
        <f t="shared" si="32"/>
        <v>1.2632045504912481E-2</v>
      </c>
      <c r="AC211" s="213">
        <f t="shared" si="32"/>
        <v>1.8456375838926231E-2</v>
      </c>
      <c r="AD211" s="213">
        <f t="shared" si="32"/>
        <v>2.6430771434710953E-2</v>
      </c>
      <c r="AE211" s="213">
        <f t="shared" si="32"/>
        <v>2.1423586880670031E-2</v>
      </c>
      <c r="AF211" s="213">
        <f t="shared" si="32"/>
        <v>2.1247523399603674E-2</v>
      </c>
      <c r="AG211" s="213">
        <f t="shared" si="32"/>
        <v>2.0872357506020789E-2</v>
      </c>
      <c r="AH211" s="213">
        <f t="shared" si="32"/>
        <v>1.5072083879423381E-2</v>
      </c>
      <c r="AI211" s="213">
        <f t="shared" si="32"/>
        <v>1.839896707553268E-2</v>
      </c>
      <c r="AJ211" s="213">
        <f t="shared" ref="AJ211:BF211" si="33">SUM(AJ$153:AJ$157)/SUM(AI$153:AI$157)-1</f>
        <v>2.1299524564183825E-2</v>
      </c>
      <c r="AK211" s="213">
        <f t="shared" si="33"/>
        <v>2.8427782260567414E-2</v>
      </c>
      <c r="AL211" s="213">
        <f t="shared" si="33"/>
        <v>2.7159152634437911E-2</v>
      </c>
      <c r="AM211" s="213">
        <f t="shared" si="33"/>
        <v>2.044773488454088E-2</v>
      </c>
      <c r="AN211" s="213">
        <f t="shared" si="33"/>
        <v>1.1400932803593111E-2</v>
      </c>
      <c r="AO211" s="213">
        <f t="shared" si="33"/>
        <v>3.3589524622830158E-3</v>
      </c>
      <c r="AP211" s="213">
        <f t="shared" si="33"/>
        <v>-5.5038583749432712E-3</v>
      </c>
      <c r="AQ211" s="213">
        <f t="shared" si="33"/>
        <v>-1.135391110857531E-2</v>
      </c>
      <c r="AR211" s="213">
        <f t="shared" si="33"/>
        <v>-8.5987996306555736E-3</v>
      </c>
      <c r="AS211" s="213">
        <f t="shared" si="33"/>
        <v>-9.6047499854473584E-3</v>
      </c>
      <c r="AT211" s="213">
        <f t="shared" si="33"/>
        <v>-1.0168096861408293E-2</v>
      </c>
      <c r="AU211" s="213">
        <f t="shared" si="33"/>
        <v>-4.9878273261683148E-3</v>
      </c>
      <c r="AV211" s="213">
        <f t="shared" si="33"/>
        <v>-5.7886256489825261E-3</v>
      </c>
      <c r="AW211" s="213">
        <f t="shared" si="33"/>
        <v>-8.4633853541417059E-3</v>
      </c>
      <c r="AX211" s="213">
        <f t="shared" si="33"/>
        <v>-8.414552939039921E-3</v>
      </c>
      <c r="AY211" s="213">
        <f t="shared" si="33"/>
        <v>1.1599511599511558E-3</v>
      </c>
      <c r="AZ211" s="213">
        <f t="shared" si="33"/>
        <v>-6.6467467528508184E-3</v>
      </c>
      <c r="BA211" s="213">
        <f t="shared" si="33"/>
        <v>2.4554941682013443E-3</v>
      </c>
      <c r="BB211" s="213">
        <f t="shared" si="33"/>
        <v>1.5125535823637515E-2</v>
      </c>
      <c r="BC211" s="213">
        <f t="shared" si="33"/>
        <v>2.105326657416895E-2</v>
      </c>
      <c r="BD211" s="213">
        <f t="shared" si="33"/>
        <v>1.0516365355075052E-2</v>
      </c>
      <c r="BE211" s="213">
        <f t="shared" si="33"/>
        <v>1.5785781103835328E-2</v>
      </c>
      <c r="BF211" s="213">
        <f t="shared" si="33"/>
        <v>7.0795441464257536E-3</v>
      </c>
    </row>
    <row r="212" spans="1:58" x14ac:dyDescent="0.2">
      <c r="A212" s="310" t="s">
        <v>232</v>
      </c>
      <c r="B212" s="311"/>
      <c r="C212" s="312"/>
      <c r="D212" s="213">
        <f t="shared" ref="D212:AI212" si="34">SUM(D$158:D$162)/SUM(C$158:C$162)-1</f>
        <v>8.1347108110296773E-4</v>
      </c>
      <c r="E212" s="213">
        <f t="shared" si="34"/>
        <v>4.0640494188408649E-3</v>
      </c>
      <c r="F212" s="213">
        <f t="shared" si="34"/>
        <v>1.7404679025337932E-2</v>
      </c>
      <c r="G212" s="213">
        <f t="shared" si="34"/>
        <v>1.7743475493316341E-2</v>
      </c>
      <c r="H212" s="213">
        <f t="shared" si="34"/>
        <v>2.5799390196231675E-2</v>
      </c>
      <c r="I212" s="213">
        <f t="shared" si="34"/>
        <v>2.5531590579986219E-2</v>
      </c>
      <c r="J212" s="213">
        <f t="shared" si="34"/>
        <v>2.6605231866825285E-2</v>
      </c>
      <c r="K212" s="213">
        <f t="shared" si="34"/>
        <v>2.8738960474880448E-2</v>
      </c>
      <c r="L212" s="213">
        <f t="shared" si="34"/>
        <v>2.6528745338118442E-2</v>
      </c>
      <c r="M212" s="213">
        <f t="shared" si="34"/>
        <v>2.9819029339182901E-2</v>
      </c>
      <c r="N212" s="213">
        <f t="shared" si="34"/>
        <v>2.8556213805498221E-2</v>
      </c>
      <c r="O212" s="213">
        <f t="shared" si="34"/>
        <v>2.5174734662179565E-2</v>
      </c>
      <c r="P212" s="213">
        <f t="shared" si="34"/>
        <v>1.0289754434694709E-2</v>
      </c>
      <c r="Q212" s="213">
        <f t="shared" si="34"/>
        <v>1.3121719570108326E-3</v>
      </c>
      <c r="R212" s="213">
        <f t="shared" si="34"/>
        <v>-9.9219968798751612E-3</v>
      </c>
      <c r="S212" s="213">
        <f t="shared" si="34"/>
        <v>-1.2857683095928385E-2</v>
      </c>
      <c r="T212" s="213">
        <f t="shared" si="34"/>
        <v>-1.2769761205465469E-2</v>
      </c>
      <c r="U212" s="213">
        <f t="shared" si="34"/>
        <v>-3.8158064933384583E-3</v>
      </c>
      <c r="V212" s="213">
        <f t="shared" si="34"/>
        <v>7.14146594819276E-4</v>
      </c>
      <c r="W212" s="213">
        <f t="shared" si="34"/>
        <v>9.0826521344231637E-3</v>
      </c>
      <c r="X212" s="213">
        <f t="shared" si="34"/>
        <v>4.8219107625049329E-3</v>
      </c>
      <c r="Y212" s="213">
        <f t="shared" si="34"/>
        <v>-5.4386077164245705E-3</v>
      </c>
      <c r="Z212" s="213">
        <f t="shared" si="34"/>
        <v>-1.5697375193000518E-2</v>
      </c>
      <c r="AA212" s="213">
        <f t="shared" si="34"/>
        <v>-2.1568627450980427E-2</v>
      </c>
      <c r="AB212" s="213">
        <f t="shared" si="34"/>
        <v>-3.6472945891783515E-2</v>
      </c>
      <c r="AC212" s="213">
        <f t="shared" si="34"/>
        <v>-3.3624514697725982E-2</v>
      </c>
      <c r="AD212" s="213">
        <f t="shared" si="34"/>
        <v>-2.6615969581749055E-2</v>
      </c>
      <c r="AE212" s="213">
        <f t="shared" si="34"/>
        <v>-1.1423938679245293E-2</v>
      </c>
      <c r="AF212" s="213">
        <f t="shared" si="34"/>
        <v>-7.4554536643511859E-5</v>
      </c>
      <c r="AG212" s="213">
        <f t="shared" si="34"/>
        <v>1.2824336415150572E-2</v>
      </c>
      <c r="AH212" s="213">
        <f t="shared" si="34"/>
        <v>1.869846878680792E-2</v>
      </c>
      <c r="AI212" s="213">
        <f t="shared" si="34"/>
        <v>2.673796791443861E-2</v>
      </c>
      <c r="AJ212" s="213">
        <f t="shared" ref="AJ212:BF212" si="35">SUM(AJ$158:AJ$162)/SUM(AI$158:AI$162)-1</f>
        <v>2.1607545045045029E-2</v>
      </c>
      <c r="AK212" s="213">
        <f t="shared" si="35"/>
        <v>2.1495005167068593E-2</v>
      </c>
      <c r="AL212" s="213">
        <f t="shared" si="35"/>
        <v>2.111013691238961E-2</v>
      </c>
      <c r="AM212" s="213">
        <f t="shared" si="35"/>
        <v>1.5323645970937827E-2</v>
      </c>
      <c r="AN212" s="213">
        <f t="shared" si="35"/>
        <v>1.8540202966432551E-2</v>
      </c>
      <c r="AO212" s="213">
        <f t="shared" si="35"/>
        <v>2.1523919013859638E-2</v>
      </c>
      <c r="AP212" s="213">
        <f t="shared" si="35"/>
        <v>2.8573214955608384E-2</v>
      </c>
      <c r="AQ212" s="213">
        <f t="shared" si="35"/>
        <v>2.7293173667254367E-2</v>
      </c>
      <c r="AR212" s="213">
        <f t="shared" si="35"/>
        <v>2.0710059171597628E-2</v>
      </c>
      <c r="AS212" s="213">
        <f t="shared" si="35"/>
        <v>1.1652173913043518E-2</v>
      </c>
      <c r="AT212" s="213">
        <f t="shared" si="35"/>
        <v>3.4381983840467978E-3</v>
      </c>
      <c r="AU212" s="213">
        <f t="shared" si="35"/>
        <v>-5.3109474044885641E-3</v>
      </c>
      <c r="AV212" s="213">
        <f t="shared" si="35"/>
        <v>-1.1195315191181554E-2</v>
      </c>
      <c r="AW212" s="213">
        <f t="shared" si="35"/>
        <v>-8.477036520931347E-3</v>
      </c>
      <c r="AX212" s="213">
        <f t="shared" si="35"/>
        <v>-9.4278854599754158E-3</v>
      </c>
      <c r="AY212" s="213">
        <f t="shared" si="35"/>
        <v>-1.0108772759517604E-2</v>
      </c>
      <c r="AZ212" s="213">
        <f t="shared" si="35"/>
        <v>-4.8372648551806563E-3</v>
      </c>
      <c r="BA212" s="213">
        <f t="shared" si="35"/>
        <v>-5.6409025444070782E-3</v>
      </c>
      <c r="BB212" s="213">
        <f t="shared" si="35"/>
        <v>-8.5093542546771372E-3</v>
      </c>
      <c r="BC212" s="213">
        <f t="shared" si="35"/>
        <v>-8.1563089658530652E-3</v>
      </c>
      <c r="BD212" s="213">
        <f t="shared" si="35"/>
        <v>1.1660018410555306E-3</v>
      </c>
      <c r="BE212" s="213">
        <f t="shared" si="35"/>
        <v>-6.4974868211352677E-3</v>
      </c>
      <c r="BF212" s="213">
        <f t="shared" si="35"/>
        <v>2.6530108588351808E-3</v>
      </c>
    </row>
    <row r="213" spans="1:58" x14ac:dyDescent="0.2">
      <c r="A213" s="310" t="s">
        <v>233</v>
      </c>
      <c r="B213" s="311"/>
      <c r="C213" s="312"/>
      <c r="D213" s="213">
        <f t="shared" ref="D213:AI213" si="36">SUM(D$163:D$167)/SUM(C$163:C$167)-1</f>
        <v>5.8469656992084396E-2</v>
      </c>
      <c r="E213" s="213">
        <f t="shared" si="36"/>
        <v>7.2290357961910523E-2</v>
      </c>
      <c r="F213" s="213">
        <f t="shared" si="36"/>
        <v>4.5936395759717419E-2</v>
      </c>
      <c r="G213" s="213">
        <f t="shared" si="36"/>
        <v>4.2140825035561935E-2</v>
      </c>
      <c r="H213" s="213">
        <f t="shared" si="36"/>
        <v>3.03702439856679E-2</v>
      </c>
      <c r="I213" s="213">
        <f t="shared" si="36"/>
        <v>8.2795164762372586E-4</v>
      </c>
      <c r="J213" s="213">
        <f t="shared" si="36"/>
        <v>5.7908669755128983E-3</v>
      </c>
      <c r="K213" s="213">
        <f t="shared" si="36"/>
        <v>1.8999835499259765E-2</v>
      </c>
      <c r="L213" s="213">
        <f t="shared" si="36"/>
        <v>1.8484139155702684E-2</v>
      </c>
      <c r="M213" s="213">
        <f t="shared" si="36"/>
        <v>2.6232366460611889E-2</v>
      </c>
      <c r="N213" s="213">
        <f t="shared" si="36"/>
        <v>2.7492470461039531E-2</v>
      </c>
      <c r="O213" s="213">
        <f t="shared" si="36"/>
        <v>2.8184892897406888E-2</v>
      </c>
      <c r="P213" s="213">
        <f t="shared" si="36"/>
        <v>2.9532163742689965E-2</v>
      </c>
      <c r="Q213" s="213">
        <f t="shared" si="36"/>
        <v>2.6909968758875413E-2</v>
      </c>
      <c r="R213" s="213">
        <f t="shared" si="36"/>
        <v>3.0076747562746364E-2</v>
      </c>
      <c r="S213" s="213">
        <f t="shared" si="36"/>
        <v>2.8862934622096992E-2</v>
      </c>
      <c r="T213" s="213">
        <f t="shared" si="36"/>
        <v>2.5378392484342482E-2</v>
      </c>
      <c r="U213" s="213">
        <f t="shared" si="36"/>
        <v>1.0689062798243887E-2</v>
      </c>
      <c r="V213" s="213">
        <f t="shared" si="36"/>
        <v>1.6367642429966356E-3</v>
      </c>
      <c r="W213" s="213">
        <f t="shared" si="36"/>
        <v>-9.2388913330400113E-3</v>
      </c>
      <c r="X213" s="213">
        <f t="shared" si="36"/>
        <v>-1.243339253996445E-2</v>
      </c>
      <c r="Y213" s="213">
        <f t="shared" si="36"/>
        <v>-1.2011819116135691E-2</v>
      </c>
      <c r="Z213" s="213">
        <f t="shared" si="36"/>
        <v>-3.3157792081138782E-3</v>
      </c>
      <c r="AA213" s="213">
        <f t="shared" si="36"/>
        <v>1.1089367253751536E-3</v>
      </c>
      <c r="AB213" s="213">
        <f t="shared" si="36"/>
        <v>9.3177819769336701E-3</v>
      </c>
      <c r="AC213" s="213">
        <f t="shared" si="36"/>
        <v>5.2291801162041018E-3</v>
      </c>
      <c r="AD213" s="213">
        <f t="shared" si="36"/>
        <v>-5.0093121829041243E-3</v>
      </c>
      <c r="AE213" s="213">
        <f t="shared" si="36"/>
        <v>-1.5297231007551759E-2</v>
      </c>
      <c r="AF213" s="213">
        <f t="shared" si="36"/>
        <v>-2.0975353959098109E-2</v>
      </c>
      <c r="AG213" s="213">
        <f t="shared" si="36"/>
        <v>-3.5752544188537794E-2</v>
      </c>
      <c r="AH213" s="213">
        <f t="shared" si="36"/>
        <v>-3.3050965143730071E-2</v>
      </c>
      <c r="AI213" s="213">
        <f t="shared" si="36"/>
        <v>-2.6066350710900466E-2</v>
      </c>
      <c r="AJ213" s="213">
        <f t="shared" ref="AJ213:BF213" si="37">SUM(AJ$163:AJ$167)/SUM(AI$163:AI$167)-1</f>
        <v>-1.0838310108383098E-2</v>
      </c>
      <c r="AK213" s="213">
        <f t="shared" si="37"/>
        <v>1.4907573047118206E-4</v>
      </c>
      <c r="AL213" s="213">
        <f t="shared" si="37"/>
        <v>1.3116708898494478E-2</v>
      </c>
      <c r="AM213" s="213">
        <f t="shared" si="37"/>
        <v>1.8831837575400856E-2</v>
      </c>
      <c r="AN213" s="213">
        <f t="shared" si="37"/>
        <v>2.6714801444043257E-2</v>
      </c>
      <c r="AO213" s="213">
        <f t="shared" si="37"/>
        <v>2.1659634317862109E-2</v>
      </c>
      <c r="AP213" s="213">
        <f t="shared" si="37"/>
        <v>2.1475770925110105E-2</v>
      </c>
      <c r="AQ213" s="213">
        <f t="shared" si="37"/>
        <v>2.1226415094339535E-2</v>
      </c>
      <c r="AR213" s="213">
        <f t="shared" si="37"/>
        <v>1.5506433520290352E-2</v>
      </c>
      <c r="AS213" s="213">
        <f t="shared" si="37"/>
        <v>1.8583495776478332E-2</v>
      </c>
      <c r="AT213" s="213">
        <f t="shared" si="37"/>
        <v>2.1561622862975138E-2</v>
      </c>
      <c r="AU213" s="213">
        <f t="shared" si="37"/>
        <v>2.8537529661546213E-2</v>
      </c>
      <c r="AV213" s="213">
        <f t="shared" si="37"/>
        <v>2.7320745552789738E-2</v>
      </c>
      <c r="AW213" s="213">
        <f t="shared" si="37"/>
        <v>2.0684356716506036E-2</v>
      </c>
      <c r="AX213" s="213">
        <f t="shared" si="37"/>
        <v>1.1753806959643232E-2</v>
      </c>
      <c r="AY213" s="213">
        <f t="shared" si="37"/>
        <v>3.548128648277471E-3</v>
      </c>
      <c r="AZ213" s="213">
        <f t="shared" si="37"/>
        <v>-5.0182481751824826E-3</v>
      </c>
      <c r="BA213" s="213">
        <f t="shared" si="37"/>
        <v>-1.0946813388354015E-2</v>
      </c>
      <c r="BB213" s="213">
        <f t="shared" si="37"/>
        <v>-8.2285449382859532E-3</v>
      </c>
      <c r="BC213" s="213">
        <f t="shared" si="37"/>
        <v>-9.1732398480864896E-3</v>
      </c>
      <c r="BD213" s="213">
        <f t="shared" si="37"/>
        <v>-9.9068286354523361E-3</v>
      </c>
      <c r="BE213" s="213">
        <f t="shared" si="37"/>
        <v>-4.5860631328171753E-3</v>
      </c>
      <c r="BF213" s="213">
        <f t="shared" si="37"/>
        <v>-5.4448632800814245E-3</v>
      </c>
    </row>
    <row r="214" spans="1:58" x14ac:dyDescent="0.2">
      <c r="A214" s="310" t="s">
        <v>234</v>
      </c>
      <c r="B214" s="311"/>
      <c r="C214" s="312"/>
      <c r="D214" s="213">
        <f t="shared" ref="D214:AI214" si="38">SUM(D$168:D$193)/SUM(C$168:C$193)-1</f>
        <v>2.5470496674685261E-2</v>
      </c>
      <c r="E214" s="213">
        <f t="shared" si="38"/>
        <v>1.8179936525458906E-2</v>
      </c>
      <c r="F214" s="213">
        <f t="shared" si="38"/>
        <v>2.3377943418600777E-2</v>
      </c>
      <c r="G214" s="213">
        <f t="shared" si="38"/>
        <v>2.665121668597914E-2</v>
      </c>
      <c r="H214" s="213">
        <f t="shared" si="38"/>
        <v>2.776523702031608E-2</v>
      </c>
      <c r="I214" s="213">
        <f t="shared" si="38"/>
        <v>3.7714536726177306E-2</v>
      </c>
      <c r="J214" s="213">
        <f t="shared" si="38"/>
        <v>3.5587941825658387E-2</v>
      </c>
      <c r="K214" s="213">
        <f t="shared" si="38"/>
        <v>3.2291970802919678E-2</v>
      </c>
      <c r="L214" s="213">
        <f t="shared" si="38"/>
        <v>3.3374816155673726E-2</v>
      </c>
      <c r="M214" s="213">
        <f t="shared" si="38"/>
        <v>3.1421064155900957E-2</v>
      </c>
      <c r="N214" s="213">
        <f t="shared" si="38"/>
        <v>3.1047659484131129E-2</v>
      </c>
      <c r="O214" s="213">
        <f t="shared" si="38"/>
        <v>3.0704689349873915E-2</v>
      </c>
      <c r="P214" s="213">
        <f t="shared" si="38"/>
        <v>3.1837590830773754E-2</v>
      </c>
      <c r="Q214" s="213">
        <f t="shared" si="38"/>
        <v>3.2016843328009248E-2</v>
      </c>
      <c r="R214" s="213">
        <f t="shared" si="38"/>
        <v>3.2735373431820758E-2</v>
      </c>
      <c r="S214" s="213">
        <f t="shared" si="38"/>
        <v>3.2424331872573209E-2</v>
      </c>
      <c r="T214" s="213">
        <f t="shared" si="38"/>
        <v>3.2219754118190336E-2</v>
      </c>
      <c r="U214" s="213">
        <f t="shared" si="38"/>
        <v>3.3515148932543593E-2</v>
      </c>
      <c r="V214" s="213">
        <f t="shared" si="38"/>
        <v>3.2634465128744239E-2</v>
      </c>
      <c r="W214" s="213">
        <f t="shared" si="38"/>
        <v>3.3898981832701125E-2</v>
      </c>
      <c r="X214" s="213">
        <f t="shared" si="38"/>
        <v>3.3115779717308946E-2</v>
      </c>
      <c r="Y214" s="213">
        <f t="shared" si="38"/>
        <v>3.1717847597330984E-2</v>
      </c>
      <c r="Z214" s="213">
        <f t="shared" si="38"/>
        <v>2.8387681159420364E-2</v>
      </c>
      <c r="AA214" s="213">
        <f t="shared" si="38"/>
        <v>2.5208307643525218E-2</v>
      </c>
      <c r="AB214" s="213">
        <f t="shared" si="38"/>
        <v>2.3334135193649352E-2</v>
      </c>
      <c r="AC214" s="213">
        <f t="shared" si="38"/>
        <v>2.2096850023507253E-2</v>
      </c>
      <c r="AD214" s="213">
        <f t="shared" si="38"/>
        <v>2.1307004862662682E-2</v>
      </c>
      <c r="AE214" s="213">
        <f t="shared" si="38"/>
        <v>2.0878572922195859E-2</v>
      </c>
      <c r="AF214" s="213">
        <f t="shared" si="38"/>
        <v>1.9143807017820258E-2</v>
      </c>
      <c r="AG214" s="213">
        <f t="shared" si="38"/>
        <v>1.9495377384743717E-2</v>
      </c>
      <c r="AH214" s="213">
        <f t="shared" si="38"/>
        <v>1.7545455924055542E-2</v>
      </c>
      <c r="AI214" s="213">
        <f t="shared" si="38"/>
        <v>1.441132637853948E-2</v>
      </c>
      <c r="AJ214" s="213">
        <f t="shared" ref="AJ214:BF214" si="39">SUM(AJ$168:AJ$193)/SUM(AI$168:AI$193)-1</f>
        <v>1.1944113887786934E-2</v>
      </c>
      <c r="AK214" s="213">
        <f t="shared" si="39"/>
        <v>9.4367015098721918E-3</v>
      </c>
      <c r="AL214" s="213">
        <f t="shared" si="39"/>
        <v>6.9466417373795775E-3</v>
      </c>
      <c r="AM214" s="213">
        <f t="shared" si="39"/>
        <v>6.2845471555281751E-3</v>
      </c>
      <c r="AN214" s="213">
        <f t="shared" si="39"/>
        <v>5.2659219621591369E-3</v>
      </c>
      <c r="AO214" s="213">
        <f t="shared" si="39"/>
        <v>6.0149101999322774E-3</v>
      </c>
      <c r="AP214" s="213">
        <f t="shared" si="39"/>
        <v>6.0631578947367704E-3</v>
      </c>
      <c r="AQ214" s="213">
        <f t="shared" si="39"/>
        <v>5.9987165536676823E-3</v>
      </c>
      <c r="AR214" s="213">
        <f t="shared" si="39"/>
        <v>6.6008431329043216E-3</v>
      </c>
      <c r="AS214" s="213">
        <f t="shared" si="39"/>
        <v>7.2601531933653707E-3</v>
      </c>
      <c r="AT214" s="213">
        <f t="shared" si="39"/>
        <v>7.2488545442110919E-3</v>
      </c>
      <c r="AU214" s="213">
        <f t="shared" si="39"/>
        <v>7.2781587344694643E-3</v>
      </c>
      <c r="AV214" s="213">
        <f t="shared" si="39"/>
        <v>7.4951807066498954E-3</v>
      </c>
      <c r="AW214" s="213">
        <f t="shared" si="39"/>
        <v>7.1049145670818437E-3</v>
      </c>
      <c r="AX214" s="213">
        <f t="shared" si="39"/>
        <v>8.5693787532550303E-3</v>
      </c>
      <c r="AY214" s="213">
        <f t="shared" si="39"/>
        <v>9.3923306943475282E-3</v>
      </c>
      <c r="AZ214" s="213">
        <f t="shared" si="39"/>
        <v>1.1236394957325091E-2</v>
      </c>
      <c r="BA214" s="213">
        <f t="shared" si="39"/>
        <v>1.1447081445919993E-2</v>
      </c>
      <c r="BB214" s="213">
        <f t="shared" si="39"/>
        <v>9.9650394263404163E-3</v>
      </c>
      <c r="BC214" s="213">
        <f t="shared" si="39"/>
        <v>9.7909165561240741E-3</v>
      </c>
      <c r="BD214" s="213">
        <f t="shared" si="39"/>
        <v>8.9578381083448289E-3</v>
      </c>
      <c r="BE214" s="213">
        <f t="shared" si="39"/>
        <v>9.0395059891377194E-3</v>
      </c>
      <c r="BF214" s="213">
        <f t="shared" si="39"/>
        <v>8.2580645161289823E-3</v>
      </c>
    </row>
    <row r="215" spans="1:58" x14ac:dyDescent="0.2">
      <c r="A215" s="310" t="s">
        <v>220</v>
      </c>
      <c r="B215" s="311"/>
      <c r="C215" s="312"/>
      <c r="D215" s="213">
        <f t="shared" ref="D215:AI215" si="40">SUM(D$27:D$28)/SUM(C$27:C$28)-1</f>
        <v>3.0298094152142019E-2</v>
      </c>
      <c r="E215" s="213">
        <f t="shared" si="40"/>
        <v>2.9881422924901146E-2</v>
      </c>
      <c r="F215" s="213">
        <f t="shared" si="40"/>
        <v>3.6690205710776747E-2</v>
      </c>
      <c r="G215" s="213">
        <f t="shared" si="40"/>
        <v>1.2735080704871837E-2</v>
      </c>
      <c r="H215" s="213">
        <f t="shared" si="40"/>
        <v>-1.3598479309840594E-2</v>
      </c>
      <c r="I215" s="213">
        <f t="shared" si="40"/>
        <v>-1.5268307144974846E-2</v>
      </c>
      <c r="J215" s="213">
        <f t="shared" si="40"/>
        <v>-1.1139545386120719E-2</v>
      </c>
      <c r="K215" s="213">
        <f t="shared" si="40"/>
        <v>-8.2204292890850628E-3</v>
      </c>
      <c r="L215" s="213">
        <f t="shared" si="40"/>
        <v>-2.5786646201074404E-2</v>
      </c>
      <c r="M215" s="213">
        <f t="shared" si="40"/>
        <v>-1.859146053253502E-2</v>
      </c>
      <c r="N215" s="213">
        <f t="shared" si="40"/>
        <v>-5.7794188473270225E-3</v>
      </c>
      <c r="O215" s="213">
        <f t="shared" si="40"/>
        <v>4.8441789116744349E-3</v>
      </c>
      <c r="P215" s="213">
        <f t="shared" si="40"/>
        <v>1.7676361883336433E-3</v>
      </c>
      <c r="Q215" s="213">
        <f t="shared" si="40"/>
        <v>-3.1921719602181597E-2</v>
      </c>
      <c r="R215" s="213">
        <f t="shared" si="40"/>
        <v>-1.5575807787903906E-2</v>
      </c>
      <c r="S215" s="213">
        <f t="shared" si="40"/>
        <v>1.8178757784884647E-2</v>
      </c>
      <c r="T215" s="213">
        <f t="shared" si="40"/>
        <v>7.7698793188956117E-3</v>
      </c>
      <c r="U215" s="213">
        <f t="shared" si="40"/>
        <v>4.9212598425196763E-3</v>
      </c>
      <c r="V215" s="213">
        <f t="shared" si="40"/>
        <v>3.0035912504080997E-2</v>
      </c>
      <c r="W215" s="213">
        <f t="shared" si="40"/>
        <v>3.9461172741679817E-2</v>
      </c>
      <c r="X215" s="213">
        <f t="shared" si="40"/>
        <v>1.3416679371855533E-2</v>
      </c>
      <c r="Y215" s="213">
        <f t="shared" si="40"/>
        <v>-6.7699714156762569E-3</v>
      </c>
      <c r="Z215" s="213">
        <f t="shared" si="40"/>
        <v>-1.0905786125416594E-2</v>
      </c>
      <c r="AA215" s="213">
        <f t="shared" si="40"/>
        <v>-2.0214395099540594E-2</v>
      </c>
      <c r="AB215" s="213">
        <f t="shared" si="40"/>
        <v>-1.2035010940919078E-2</v>
      </c>
      <c r="AC215" s="213">
        <f t="shared" si="40"/>
        <v>1.7402309761114232E-3</v>
      </c>
      <c r="AD215" s="213">
        <f t="shared" si="40"/>
        <v>3.6323436512950558E-3</v>
      </c>
      <c r="AE215" s="213">
        <f t="shared" si="40"/>
        <v>5.0354051927616883E-3</v>
      </c>
      <c r="AF215" s="213">
        <f t="shared" si="40"/>
        <v>5.9495850947237638E-3</v>
      </c>
      <c r="AG215" s="213">
        <f t="shared" si="40"/>
        <v>6.0700389105057262E-3</v>
      </c>
      <c r="AH215" s="213">
        <f t="shared" si="40"/>
        <v>6.0334158415842332E-3</v>
      </c>
      <c r="AI215" s="213">
        <f t="shared" si="40"/>
        <v>5.6896816853759802E-3</v>
      </c>
      <c r="AJ215" s="213">
        <f t="shared" ref="AJ215:BF215" si="41">SUM(AJ$27:AJ$28)/SUM(AI$27:AI$28)-1</f>
        <v>4.8929663608563434E-3</v>
      </c>
      <c r="AK215" s="213">
        <f t="shared" si="41"/>
        <v>4.1083384053559602E-3</v>
      </c>
      <c r="AL215" s="213">
        <f t="shared" si="41"/>
        <v>3.1823003485376145E-3</v>
      </c>
      <c r="AM215" s="213">
        <f t="shared" si="41"/>
        <v>2.2658610271903967E-3</v>
      </c>
      <c r="AN215" s="213">
        <f t="shared" si="41"/>
        <v>1.2057272042200751E-3</v>
      </c>
      <c r="AO215" s="213">
        <f t="shared" si="41"/>
        <v>4.5160319132930837E-4</v>
      </c>
      <c r="AP215" s="213">
        <f t="shared" si="41"/>
        <v>-3.0093289196508888E-4</v>
      </c>
      <c r="AQ215" s="213">
        <f t="shared" si="41"/>
        <v>-1.2040939193257438E-3</v>
      </c>
      <c r="AR215" s="213">
        <f t="shared" si="41"/>
        <v>-1.8083182640145079E-3</v>
      </c>
      <c r="AS215" s="213">
        <f t="shared" si="41"/>
        <v>-2.4154589371980784E-3</v>
      </c>
      <c r="AT215" s="213">
        <f t="shared" si="41"/>
        <v>-2.421307506053294E-3</v>
      </c>
      <c r="AU215" s="213">
        <f t="shared" si="41"/>
        <v>-2.5788834951456785E-3</v>
      </c>
      <c r="AV215" s="213">
        <f t="shared" si="41"/>
        <v>-2.1292775665399111E-3</v>
      </c>
      <c r="AW215" s="213">
        <f t="shared" si="41"/>
        <v>-1.5241579027587271E-3</v>
      </c>
      <c r="AX215" s="213">
        <f t="shared" si="41"/>
        <v>-7.6324225309110094E-4</v>
      </c>
      <c r="AY215" s="213">
        <f t="shared" si="41"/>
        <v>6.1106018942869156E-4</v>
      </c>
      <c r="AZ215" s="213">
        <f t="shared" si="41"/>
        <v>1.3740458015267798E-3</v>
      </c>
      <c r="BA215" s="213">
        <f t="shared" si="41"/>
        <v>2.4393962494282384E-3</v>
      </c>
      <c r="BB215" s="213">
        <f t="shared" si="41"/>
        <v>2.5855513307984079E-3</v>
      </c>
      <c r="BC215" s="213">
        <f t="shared" si="41"/>
        <v>3.1856796116505048E-3</v>
      </c>
      <c r="BD215" s="213">
        <f t="shared" si="41"/>
        <v>3.1755632844396864E-3</v>
      </c>
      <c r="BE215" s="213">
        <f t="shared" si="41"/>
        <v>3.0147723846849495E-3</v>
      </c>
      <c r="BF215" s="213">
        <f t="shared" si="41"/>
        <v>2.8554253080854686E-3</v>
      </c>
    </row>
    <row r="216" spans="1:58" x14ac:dyDescent="0.2">
      <c r="A216" s="310" t="s">
        <v>222</v>
      </c>
      <c r="B216" s="311"/>
      <c r="C216" s="312"/>
      <c r="D216" s="213">
        <f t="shared" ref="D216:AI216" si="42">SUM(D$29:D$33)/SUM(C$29:C$33)-1</f>
        <v>9.7360301679807471E-3</v>
      </c>
      <c r="E216" s="213">
        <f t="shared" si="42"/>
        <v>1.72472329734501E-2</v>
      </c>
      <c r="F216" s="213">
        <f t="shared" si="42"/>
        <v>3.4243374941592686E-2</v>
      </c>
      <c r="G216" s="213">
        <f t="shared" si="42"/>
        <v>4.1693558796953578E-2</v>
      </c>
      <c r="H216" s="213">
        <f t="shared" si="42"/>
        <v>3.8723667905824044E-2</v>
      </c>
      <c r="I216" s="213">
        <f t="shared" si="42"/>
        <v>2.1175067104085787E-2</v>
      </c>
      <c r="J216" s="213">
        <f t="shared" si="42"/>
        <v>1.2441588785046642E-2</v>
      </c>
      <c r="K216" s="213">
        <f t="shared" si="42"/>
        <v>6.6924363930076503E-3</v>
      </c>
      <c r="L216" s="213">
        <f t="shared" si="42"/>
        <v>1.8912258582153285E-3</v>
      </c>
      <c r="M216" s="213">
        <f t="shared" si="42"/>
        <v>-8.8662624413682334E-3</v>
      </c>
      <c r="N216" s="213">
        <f t="shared" si="42"/>
        <v>-1.2408379984994555E-2</v>
      </c>
      <c r="O216" s="213">
        <f t="shared" si="42"/>
        <v>-1.1453950444132777E-2</v>
      </c>
      <c r="P216" s="213">
        <f t="shared" si="42"/>
        <v>-1.1645779144005663E-2</v>
      </c>
      <c r="Q216" s="213">
        <f t="shared" si="42"/>
        <v>-7.8353968538787955E-3</v>
      </c>
      <c r="R216" s="213">
        <f t="shared" si="42"/>
        <v>-8.9823969134313897E-3</v>
      </c>
      <c r="S216" s="213">
        <f t="shared" si="42"/>
        <v>-9.8546140276172256E-3</v>
      </c>
      <c r="T216" s="213">
        <f t="shared" si="42"/>
        <v>-7.6795478282238872E-3</v>
      </c>
      <c r="U216" s="213">
        <f t="shared" si="42"/>
        <v>-9.9058940069340906E-4</v>
      </c>
      <c r="V216" s="213">
        <f t="shared" si="42"/>
        <v>-6.7550818046603345E-3</v>
      </c>
      <c r="W216" s="213">
        <f t="shared" si="42"/>
        <v>2.4957883571463668E-4</v>
      </c>
      <c r="X216" s="213">
        <f t="shared" si="42"/>
        <v>1.6967126193001114E-2</v>
      </c>
      <c r="Y216" s="213">
        <f t="shared" si="42"/>
        <v>2.1284426179230875E-2</v>
      </c>
      <c r="Z216" s="213">
        <f t="shared" si="42"/>
        <v>1.501501501501501E-2</v>
      </c>
      <c r="AA216" s="213">
        <f t="shared" si="42"/>
        <v>1.5207100591716038E-2</v>
      </c>
      <c r="AB216" s="213">
        <f t="shared" si="42"/>
        <v>8.5679314565483278E-3</v>
      </c>
      <c r="AC216" s="213">
        <f t="shared" si="42"/>
        <v>-3.5251964863615148E-3</v>
      </c>
      <c r="AD216" s="213">
        <f t="shared" si="42"/>
        <v>-1.0149045989676919E-2</v>
      </c>
      <c r="AE216" s="213">
        <f t="shared" si="42"/>
        <v>-8.026716662760669E-3</v>
      </c>
      <c r="AF216" s="213">
        <f t="shared" si="42"/>
        <v>-6.2607052152855447E-3</v>
      </c>
      <c r="AG216" s="213">
        <f t="shared" si="42"/>
        <v>-2.080237741456159E-3</v>
      </c>
      <c r="AH216" s="213">
        <f t="shared" si="42"/>
        <v>3.8117927337701918E-3</v>
      </c>
      <c r="AI216" s="213">
        <f t="shared" si="42"/>
        <v>4.7466476800759327E-3</v>
      </c>
      <c r="AJ216" s="213">
        <f t="shared" ref="AJ216:BF216" si="43">SUM(AJ$29:AJ$33)/SUM(AI$29:AI$33)-1</f>
        <v>5.3738041809376913E-3</v>
      </c>
      <c r="AK216" s="213">
        <f t="shared" si="43"/>
        <v>5.5800293685757119E-3</v>
      </c>
      <c r="AL216" s="213">
        <f t="shared" si="43"/>
        <v>5.3738317757008325E-3</v>
      </c>
      <c r="AM216" s="213">
        <f t="shared" si="43"/>
        <v>4.7641180571693642E-3</v>
      </c>
      <c r="AN216" s="213">
        <f t="shared" si="43"/>
        <v>4.3367641956748582E-3</v>
      </c>
      <c r="AO216" s="213">
        <f t="shared" si="43"/>
        <v>3.3392826299729617E-3</v>
      </c>
      <c r="AP216" s="213">
        <f t="shared" si="43"/>
        <v>2.6395822574165617E-3</v>
      </c>
      <c r="AQ216" s="213">
        <f t="shared" si="43"/>
        <v>1.6597035426086926E-3</v>
      </c>
      <c r="AR216" s="213">
        <f t="shared" si="43"/>
        <v>9.1418123643016713E-4</v>
      </c>
      <c r="AS216" s="213">
        <f t="shared" si="43"/>
        <v>5.7084142025320972E-5</v>
      </c>
      <c r="AT216" s="213">
        <f t="shared" si="43"/>
        <v>-6.2788971973282148E-4</v>
      </c>
      <c r="AU216" s="213">
        <f t="shared" si="43"/>
        <v>-1.2565684258624144E-3</v>
      </c>
      <c r="AV216" s="213">
        <f t="shared" si="43"/>
        <v>-1.772846848907661E-3</v>
      </c>
      <c r="AW216" s="213">
        <f t="shared" si="43"/>
        <v>-2.0624462904611507E-3</v>
      </c>
      <c r="AX216" s="213">
        <f t="shared" si="43"/>
        <v>-2.181525919972449E-3</v>
      </c>
      <c r="AY216" s="213">
        <f t="shared" si="43"/>
        <v>-1.9561590242218596E-3</v>
      </c>
      <c r="AZ216" s="213">
        <f t="shared" si="43"/>
        <v>-1.5564650948290959E-3</v>
      </c>
      <c r="BA216" s="213">
        <f t="shared" si="43"/>
        <v>-8.6605080831403392E-4</v>
      </c>
      <c r="BB216" s="213">
        <f t="shared" si="43"/>
        <v>0</v>
      </c>
      <c r="BC216" s="213">
        <f t="shared" si="43"/>
        <v>8.6680150245599386E-4</v>
      </c>
      <c r="BD216" s="213">
        <f t="shared" si="43"/>
        <v>1.6166281755196632E-3</v>
      </c>
      <c r="BE216" s="213">
        <f t="shared" si="43"/>
        <v>2.248097763430934E-3</v>
      </c>
      <c r="BF216" s="213">
        <f t="shared" si="43"/>
        <v>2.6456547995628021E-3</v>
      </c>
    </row>
    <row r="217" spans="1:58" x14ac:dyDescent="0.2">
      <c r="A217" s="310" t="s">
        <v>224</v>
      </c>
      <c r="B217" s="311"/>
      <c r="C217" s="312"/>
      <c r="D217" s="213">
        <f t="shared" ref="D217:AI217" si="44">SUM(D$34:D$38)/SUM(C$34:C$38)-1</f>
        <v>2.5398327811957833E-2</v>
      </c>
      <c r="E217" s="213">
        <f t="shared" si="44"/>
        <v>3.076923076923066E-2</v>
      </c>
      <c r="F217" s="213">
        <f t="shared" si="44"/>
        <v>3.4626865671641749E-2</v>
      </c>
      <c r="G217" s="213">
        <f t="shared" si="44"/>
        <v>3.274668205424125E-2</v>
      </c>
      <c r="H217" s="213">
        <f t="shared" si="44"/>
        <v>2.2698700935884997E-2</v>
      </c>
      <c r="I217" s="213">
        <f t="shared" si="44"/>
        <v>1.9531516765689982E-2</v>
      </c>
      <c r="J217" s="213">
        <f t="shared" si="44"/>
        <v>2.2908433250720117E-2</v>
      </c>
      <c r="K217" s="213">
        <f t="shared" si="44"/>
        <v>3.2152445812323904E-2</v>
      </c>
      <c r="L217" s="213">
        <f t="shared" si="44"/>
        <v>3.914477858139831E-2</v>
      </c>
      <c r="M217" s="213">
        <f t="shared" si="44"/>
        <v>4.1272360949996978E-2</v>
      </c>
      <c r="N217" s="213">
        <f t="shared" si="44"/>
        <v>3.0079155672823266E-2</v>
      </c>
      <c r="O217" s="213">
        <f t="shared" si="44"/>
        <v>1.9182604735883402E-2</v>
      </c>
      <c r="P217" s="213">
        <f t="shared" si="44"/>
        <v>9.3828539514102527E-3</v>
      </c>
      <c r="Q217" s="213">
        <f t="shared" si="44"/>
        <v>1.8812593371326791E-3</v>
      </c>
      <c r="R217" s="213">
        <f t="shared" si="44"/>
        <v>-8.56022532722156E-3</v>
      </c>
      <c r="S217" s="213">
        <f t="shared" si="44"/>
        <v>-1.1809269162210367E-2</v>
      </c>
      <c r="T217" s="213">
        <f t="shared" si="44"/>
        <v>-1.0992108229988751E-2</v>
      </c>
      <c r="U217" s="213">
        <f t="shared" si="44"/>
        <v>-1.1171273867198628E-2</v>
      </c>
      <c r="V217" s="213">
        <f t="shared" si="44"/>
        <v>-7.4355870655369305E-3</v>
      </c>
      <c r="W217" s="213">
        <f t="shared" si="44"/>
        <v>-8.5946573751451982E-3</v>
      </c>
      <c r="X217" s="213">
        <f t="shared" si="44"/>
        <v>-9.2549203373946121E-3</v>
      </c>
      <c r="Y217" s="213">
        <f t="shared" si="44"/>
        <v>-7.3903275393165657E-3</v>
      </c>
      <c r="Z217" s="213">
        <f t="shared" si="44"/>
        <v>-8.3387932574896517E-4</v>
      </c>
      <c r="AA217" s="213">
        <f t="shared" si="44"/>
        <v>-6.4977645305513976E-3</v>
      </c>
      <c r="AB217" s="213">
        <f t="shared" si="44"/>
        <v>3.0001200047991006E-4</v>
      </c>
      <c r="AC217" s="213">
        <f t="shared" si="44"/>
        <v>1.6315757902945149E-2</v>
      </c>
      <c r="AD217" s="213">
        <f t="shared" si="44"/>
        <v>2.0539455822463637E-2</v>
      </c>
      <c r="AE217" s="213">
        <f t="shared" si="44"/>
        <v>1.4516222312185523E-2</v>
      </c>
      <c r="AF217" s="213">
        <f t="shared" si="44"/>
        <v>1.4593546915973032E-2</v>
      </c>
      <c r="AG217" s="213">
        <f t="shared" si="44"/>
        <v>8.3155410720305856E-3</v>
      </c>
      <c r="AH217" s="213">
        <f t="shared" si="44"/>
        <v>-3.2876406998774144E-3</v>
      </c>
      <c r="AI217" s="213">
        <f t="shared" si="44"/>
        <v>-9.7277352267010064E-3</v>
      </c>
      <c r="AJ217" s="213">
        <f t="shared" ref="AJ217:BF217" si="45">SUM(AJ$34:AJ$38)/SUM(AI$34:AI$38)-1</f>
        <v>-7.6779766273358252E-3</v>
      </c>
      <c r="AK217" s="213">
        <f t="shared" si="45"/>
        <v>-6.0875007111566015E-3</v>
      </c>
      <c r="AL217" s="213">
        <f t="shared" si="45"/>
        <v>-1.8889524899827759E-3</v>
      </c>
      <c r="AM217" s="213">
        <f t="shared" si="45"/>
        <v>3.6703561392441575E-3</v>
      </c>
      <c r="AN217" s="213">
        <f t="shared" si="45"/>
        <v>4.6283069538883836E-3</v>
      </c>
      <c r="AO217" s="213">
        <f t="shared" si="45"/>
        <v>5.232624274826625E-3</v>
      </c>
      <c r="AP217" s="213">
        <f t="shared" si="45"/>
        <v>5.3751273056468207E-3</v>
      </c>
      <c r="AQ217" s="213">
        <f t="shared" si="45"/>
        <v>5.1775564184817213E-3</v>
      </c>
      <c r="AR217" s="213">
        <f t="shared" si="45"/>
        <v>4.7589720620346831E-3</v>
      </c>
      <c r="AS217" s="213">
        <f t="shared" si="45"/>
        <v>4.0677588320516822E-3</v>
      </c>
      <c r="AT217" s="213">
        <f t="shared" si="45"/>
        <v>3.2743215494754896E-3</v>
      </c>
      <c r="AU217" s="213">
        <f t="shared" si="45"/>
        <v>2.5445292620864812E-3</v>
      </c>
      <c r="AV217" s="213">
        <f t="shared" si="45"/>
        <v>1.7104391966453747E-3</v>
      </c>
      <c r="AW217" s="213">
        <f t="shared" si="45"/>
        <v>9.3638116221428369E-4</v>
      </c>
      <c r="AX217" s="213">
        <f t="shared" si="45"/>
        <v>1.1005943209330127E-4</v>
      </c>
      <c r="AY217" s="213">
        <f t="shared" si="45"/>
        <v>-6.60283922086502E-4</v>
      </c>
      <c r="AZ217" s="213">
        <f t="shared" si="45"/>
        <v>-1.1012003083360478E-3</v>
      </c>
      <c r="BA217" s="213">
        <f t="shared" si="45"/>
        <v>-1.6536214309337272E-3</v>
      </c>
      <c r="BB217" s="213">
        <f t="shared" si="45"/>
        <v>-2.0428445229682124E-3</v>
      </c>
      <c r="BC217" s="213">
        <f t="shared" si="45"/>
        <v>-1.9917012448132931E-3</v>
      </c>
      <c r="BD217" s="213">
        <f t="shared" si="45"/>
        <v>-1.8293696989855057E-3</v>
      </c>
      <c r="BE217" s="213">
        <f t="shared" si="45"/>
        <v>-1.4439631234033357E-3</v>
      </c>
      <c r="BF217" s="213">
        <f t="shared" si="45"/>
        <v>-7.7864293659624106E-4</v>
      </c>
    </row>
    <row r="218" spans="1:58" x14ac:dyDescent="0.2">
      <c r="A218" s="310" t="s">
        <v>227</v>
      </c>
      <c r="B218" s="311"/>
      <c r="C218" s="312"/>
      <c r="D218" s="213">
        <f t="shared" ref="D218:AI218" si="46">SUM(D$39:D$43)/SUM(C$39:C$43)-1</f>
        <v>-2.743544600938963E-2</v>
      </c>
      <c r="E218" s="213">
        <f t="shared" si="46"/>
        <v>-2.2326142706290519E-2</v>
      </c>
      <c r="F218" s="213">
        <f t="shared" si="46"/>
        <v>-6.2490356426477822E-3</v>
      </c>
      <c r="G218" s="213">
        <f t="shared" si="46"/>
        <v>4.0369536526667638E-3</v>
      </c>
      <c r="H218" s="213">
        <f t="shared" si="46"/>
        <v>1.4304492383824252E-2</v>
      </c>
      <c r="I218" s="213">
        <f t="shared" si="46"/>
        <v>2.050617472175631E-2</v>
      </c>
      <c r="J218" s="213">
        <f t="shared" si="46"/>
        <v>3.2419511466347917E-2</v>
      </c>
      <c r="K218" s="213">
        <f t="shared" si="46"/>
        <v>3.0460892844222487E-2</v>
      </c>
      <c r="L218" s="213">
        <f t="shared" si="46"/>
        <v>2.9209380704957155E-2</v>
      </c>
      <c r="M218" s="213">
        <f t="shared" si="46"/>
        <v>2.7834629553827206E-2</v>
      </c>
      <c r="N218" s="213">
        <f t="shared" si="46"/>
        <v>2.7014469666799323E-2</v>
      </c>
      <c r="O218" s="213">
        <f t="shared" si="46"/>
        <v>2.8889032508240264E-2</v>
      </c>
      <c r="P218" s="213">
        <f t="shared" si="46"/>
        <v>3.3605527638191024E-2</v>
      </c>
      <c r="Q218" s="213">
        <f t="shared" si="46"/>
        <v>3.7435429960498423E-2</v>
      </c>
      <c r="R218" s="213">
        <f t="shared" si="46"/>
        <v>3.9540741608576013E-2</v>
      </c>
      <c r="S218" s="213">
        <f t="shared" si="46"/>
        <v>2.879522145835689E-2</v>
      </c>
      <c r="T218" s="213">
        <f t="shared" si="46"/>
        <v>1.8458673385550739E-2</v>
      </c>
      <c r="U218" s="213">
        <f t="shared" si="46"/>
        <v>9.0351726363342433E-3</v>
      </c>
      <c r="V218" s="213">
        <f t="shared" si="46"/>
        <v>1.8654727640976532E-3</v>
      </c>
      <c r="W218" s="213">
        <f t="shared" si="46"/>
        <v>-8.1395967441613148E-3</v>
      </c>
      <c r="X218" s="213">
        <f t="shared" si="46"/>
        <v>-1.1317313881141433E-2</v>
      </c>
      <c r="Y218" s="213">
        <f t="shared" si="46"/>
        <v>-1.0470352085932833E-2</v>
      </c>
      <c r="Z218" s="213">
        <f t="shared" si="46"/>
        <v>-1.0581140350877205E-2</v>
      </c>
      <c r="AA218" s="213">
        <f t="shared" si="46"/>
        <v>-7.20341330969132E-3</v>
      </c>
      <c r="AB218" s="213">
        <f t="shared" si="46"/>
        <v>-8.0928726907406601E-3</v>
      </c>
      <c r="AC218" s="213">
        <f t="shared" si="46"/>
        <v>-8.8903893765474029E-3</v>
      </c>
      <c r="AD218" s="213">
        <f t="shared" si="46"/>
        <v>-6.9263086181446942E-3</v>
      </c>
      <c r="AE218" s="213">
        <f t="shared" si="46"/>
        <v>-8.5753487308481979E-4</v>
      </c>
      <c r="AF218" s="213">
        <f t="shared" si="46"/>
        <v>-6.0651141500257522E-3</v>
      </c>
      <c r="AG218" s="213">
        <f t="shared" si="46"/>
        <v>2.8783604858673151E-4</v>
      </c>
      <c r="AH218" s="213">
        <f t="shared" si="46"/>
        <v>1.5653775322283625E-2</v>
      </c>
      <c r="AI218" s="213">
        <f t="shared" si="46"/>
        <v>1.9662284678150455E-2</v>
      </c>
      <c r="AJ218" s="213">
        <f t="shared" ref="AJ218:BF218" si="47">SUM(AJ$39:AJ$43)/SUM(AI$39:AI$43)-1</f>
        <v>1.3948318977493823E-2</v>
      </c>
      <c r="AK218" s="213">
        <f t="shared" si="47"/>
        <v>1.3975665899375267E-2</v>
      </c>
      <c r="AL218" s="213">
        <f t="shared" si="47"/>
        <v>8.0536187233122281E-3</v>
      </c>
      <c r="AM218" s="213">
        <f t="shared" si="47"/>
        <v>-3.0563002680965567E-3</v>
      </c>
      <c r="AN218" s="213">
        <f t="shared" si="47"/>
        <v>-9.3583606733717017E-3</v>
      </c>
      <c r="AO218" s="213">
        <f t="shared" si="47"/>
        <v>-7.2750963678810399E-3</v>
      </c>
      <c r="AP218" s="213">
        <f t="shared" si="47"/>
        <v>-5.7424118129614232E-3</v>
      </c>
      <c r="AQ218" s="213">
        <f t="shared" si="47"/>
        <v>-1.7051705170516573E-3</v>
      </c>
      <c r="AR218" s="213">
        <f t="shared" si="47"/>
        <v>3.4712656344701998E-3</v>
      </c>
      <c r="AS218" s="213">
        <f t="shared" si="47"/>
        <v>4.5025258071600405E-3</v>
      </c>
      <c r="AT218" s="213">
        <f t="shared" si="47"/>
        <v>5.0289712474034243E-3</v>
      </c>
      <c r="AU218" s="213">
        <f t="shared" si="47"/>
        <v>5.2213640813663087E-3</v>
      </c>
      <c r="AV218" s="213">
        <f t="shared" si="47"/>
        <v>4.9778162536522341E-3</v>
      </c>
      <c r="AW218" s="213">
        <f t="shared" si="47"/>
        <v>4.5224507375902778E-3</v>
      </c>
      <c r="AX218" s="213">
        <f t="shared" si="47"/>
        <v>3.9661271304534118E-3</v>
      </c>
      <c r="AY218" s="213">
        <f t="shared" si="47"/>
        <v>3.2564595344863889E-3</v>
      </c>
      <c r="AZ218" s="213">
        <f t="shared" si="47"/>
        <v>2.4477198957058022E-3</v>
      </c>
      <c r="BA218" s="213">
        <f t="shared" si="47"/>
        <v>1.6986039598705371E-3</v>
      </c>
      <c r="BB218" s="213">
        <f t="shared" si="47"/>
        <v>8.4786179852680554E-4</v>
      </c>
      <c r="BC218" s="213">
        <f t="shared" si="47"/>
        <v>1.0589294223550816E-4</v>
      </c>
      <c r="BD218" s="213">
        <f t="shared" si="47"/>
        <v>-4.7646778548360302E-4</v>
      </c>
      <c r="BE218" s="213">
        <f t="shared" si="47"/>
        <v>-1.1122881355932757E-3</v>
      </c>
      <c r="BF218" s="213">
        <f t="shared" si="47"/>
        <v>-1.5377273450342122E-3</v>
      </c>
    </row>
    <row r="219" spans="1:58" x14ac:dyDescent="0.2">
      <c r="A219" s="310" t="s">
        <v>228</v>
      </c>
      <c r="B219" s="311"/>
      <c r="C219" s="312"/>
      <c r="D219" s="213">
        <f t="shared" ref="D219:AI219" si="48">SUM(D$44:D$48)/SUM(C$44:C$48)-1</f>
        <v>5.0958830628939911E-3</v>
      </c>
      <c r="E219" s="213">
        <f t="shared" si="48"/>
        <v>-7.7384923282187712E-3</v>
      </c>
      <c r="F219" s="213">
        <f t="shared" si="48"/>
        <v>-1.7009546860293101E-2</v>
      </c>
      <c r="G219" s="213">
        <f t="shared" si="48"/>
        <v>-2.202311743382801E-2</v>
      </c>
      <c r="H219" s="213">
        <f t="shared" si="48"/>
        <v>-3.3988390796559242E-2</v>
      </c>
      <c r="I219" s="213">
        <f t="shared" si="48"/>
        <v>-3.4025917613841994E-2</v>
      </c>
      <c r="J219" s="213">
        <f t="shared" si="48"/>
        <v>-2.6680656524020074E-2</v>
      </c>
      <c r="K219" s="213">
        <f t="shared" si="48"/>
        <v>-1.016401016401014E-2</v>
      </c>
      <c r="L219" s="213">
        <f t="shared" si="48"/>
        <v>4.2007001166861624E-3</v>
      </c>
      <c r="M219" s="213">
        <f t="shared" si="48"/>
        <v>1.7119838872104776E-2</v>
      </c>
      <c r="N219" s="213">
        <f t="shared" si="48"/>
        <v>2.4980959634425037E-2</v>
      </c>
      <c r="O219" s="213">
        <f t="shared" si="48"/>
        <v>3.5889433794025871E-2</v>
      </c>
      <c r="P219" s="213">
        <f t="shared" si="48"/>
        <v>3.1848504411448264E-2</v>
      </c>
      <c r="Q219" s="213">
        <f t="shared" si="48"/>
        <v>2.884949600278075E-2</v>
      </c>
      <c r="R219" s="213">
        <f t="shared" si="48"/>
        <v>2.7567567567567508E-2</v>
      </c>
      <c r="S219" s="213">
        <f t="shared" si="48"/>
        <v>2.676223040504988E-2</v>
      </c>
      <c r="T219" s="213">
        <f t="shared" si="48"/>
        <v>2.8562279859109863E-2</v>
      </c>
      <c r="U219" s="213">
        <f t="shared" si="48"/>
        <v>3.3123715833385248E-2</v>
      </c>
      <c r="V219" s="213">
        <f t="shared" si="48"/>
        <v>3.6943289338877916E-2</v>
      </c>
      <c r="W219" s="213">
        <f t="shared" si="48"/>
        <v>3.9230500988027384E-2</v>
      </c>
      <c r="X219" s="213">
        <f t="shared" si="48"/>
        <v>2.8521894748615884E-2</v>
      </c>
      <c r="Y219" s="213">
        <f t="shared" si="48"/>
        <v>1.8269805883312396E-2</v>
      </c>
      <c r="Z219" s="213">
        <f t="shared" si="48"/>
        <v>9.024403268008685E-3</v>
      </c>
      <c r="AA219" s="213">
        <f t="shared" si="48"/>
        <v>1.9051651143098258E-3</v>
      </c>
      <c r="AB219" s="213">
        <f t="shared" si="48"/>
        <v>-8.0287344179167386E-3</v>
      </c>
      <c r="AC219" s="213">
        <f t="shared" si="48"/>
        <v>-1.1128860489882819E-2</v>
      </c>
      <c r="AD219" s="213">
        <f t="shared" si="48"/>
        <v>-1.0284852727370675E-2</v>
      </c>
      <c r="AE219" s="213">
        <f t="shared" si="48"/>
        <v>-1.050054406964096E-2</v>
      </c>
      <c r="AF219" s="213">
        <f t="shared" si="48"/>
        <v>-7.0379941716610661E-3</v>
      </c>
      <c r="AG219" s="213">
        <f t="shared" si="48"/>
        <v>-7.9184893958691438E-3</v>
      </c>
      <c r="AH219" s="213">
        <f t="shared" si="48"/>
        <v>-8.7073007367716171E-3</v>
      </c>
      <c r="AI219" s="213">
        <f t="shared" si="48"/>
        <v>-6.9256756756757021E-3</v>
      </c>
      <c r="AJ219" s="213">
        <f t="shared" ref="AJ219:BF219" si="49">SUM(AJ$44:AJ$48)/SUM(AI$44:AI$48)-1</f>
        <v>-7.9378579123434712E-4</v>
      </c>
      <c r="AK219" s="213">
        <f t="shared" si="49"/>
        <v>-5.9581229075640341E-3</v>
      </c>
      <c r="AL219" s="213">
        <f t="shared" si="49"/>
        <v>3.9958899417746885E-4</v>
      </c>
      <c r="AM219" s="213">
        <f t="shared" si="49"/>
        <v>1.5463623395149728E-2</v>
      </c>
      <c r="AN219" s="213">
        <f t="shared" si="49"/>
        <v>1.9554956169925752E-2</v>
      </c>
      <c r="AO219" s="213">
        <f t="shared" si="49"/>
        <v>1.3778659611992872E-2</v>
      </c>
      <c r="AP219" s="213">
        <f t="shared" si="49"/>
        <v>1.3917581820158675E-2</v>
      </c>
      <c r="AQ219" s="213">
        <f t="shared" si="49"/>
        <v>7.9892761394102507E-3</v>
      </c>
      <c r="AR219" s="213">
        <f t="shared" si="49"/>
        <v>-3.0320761742645974E-3</v>
      </c>
      <c r="AS219" s="213">
        <f t="shared" si="49"/>
        <v>-9.1238928609540526E-3</v>
      </c>
      <c r="AT219" s="213">
        <f t="shared" si="49"/>
        <v>-7.2155511281029039E-3</v>
      </c>
      <c r="AU219" s="213">
        <f t="shared" si="49"/>
        <v>-5.6950696968053327E-3</v>
      </c>
      <c r="AV219" s="213">
        <f t="shared" si="49"/>
        <v>-1.6910320750600505E-3</v>
      </c>
      <c r="AW219" s="213">
        <f t="shared" si="49"/>
        <v>3.5517184853286476E-3</v>
      </c>
      <c r="AX219" s="213">
        <f t="shared" si="49"/>
        <v>4.5192202983774798E-3</v>
      </c>
      <c r="AY219" s="213">
        <f t="shared" si="49"/>
        <v>5.0409236272968005E-3</v>
      </c>
      <c r="AZ219" s="213">
        <f t="shared" si="49"/>
        <v>5.1774350124043078E-3</v>
      </c>
      <c r="BA219" s="213">
        <f t="shared" si="49"/>
        <v>4.8824981221160524E-3</v>
      </c>
      <c r="BB219" s="213">
        <f t="shared" si="49"/>
        <v>4.5918094932990705E-3</v>
      </c>
      <c r="BC219" s="213">
        <f t="shared" si="49"/>
        <v>3.9330321551953595E-3</v>
      </c>
      <c r="BD219" s="213">
        <f t="shared" si="49"/>
        <v>3.2823336333316355E-3</v>
      </c>
      <c r="BE219" s="213">
        <f t="shared" si="49"/>
        <v>2.4273125428737607E-3</v>
      </c>
      <c r="BF219" s="213">
        <f t="shared" si="49"/>
        <v>1.6318366057799238E-3</v>
      </c>
    </row>
    <row r="220" spans="1:58" x14ac:dyDescent="0.2">
      <c r="A220" s="310" t="s">
        <v>235</v>
      </c>
      <c r="B220" s="311"/>
      <c r="C220" s="312"/>
      <c r="D220" s="213">
        <f t="shared" ref="D220:AI220" si="50">SUM(D$49:D$53)/SUM(C$49:C$53)-1</f>
        <v>-1.4427701186277675E-2</v>
      </c>
      <c r="E220" s="213">
        <f t="shared" si="50"/>
        <v>-1.5094339622641506E-2</v>
      </c>
      <c r="F220" s="213">
        <f t="shared" si="50"/>
        <v>-9.5785440613026518E-3</v>
      </c>
      <c r="G220" s="213">
        <f t="shared" si="50"/>
        <v>-4.0018675381844337E-3</v>
      </c>
      <c r="H220" s="213">
        <f t="shared" si="50"/>
        <v>-9.375209268064344E-4</v>
      </c>
      <c r="I220" s="213">
        <f t="shared" si="50"/>
        <v>-2.2789731215229203E-3</v>
      </c>
      <c r="J220" s="213">
        <f t="shared" si="50"/>
        <v>-1.1622438696674453E-2</v>
      </c>
      <c r="K220" s="213">
        <f t="shared" si="50"/>
        <v>-2.1003262642740661E-2</v>
      </c>
      <c r="L220" s="213">
        <f t="shared" si="50"/>
        <v>-2.3397903214608107E-2</v>
      </c>
      <c r="M220" s="213">
        <f t="shared" si="50"/>
        <v>-3.2489691454571257E-2</v>
      </c>
      <c r="N220" s="213">
        <f t="shared" si="50"/>
        <v>-3.0788448820633363E-2</v>
      </c>
      <c r="O220" s="213">
        <f t="shared" si="50"/>
        <v>-2.3805913570887016E-2</v>
      </c>
      <c r="P220" s="213">
        <f t="shared" si="50"/>
        <v>-8.6206896551723755E-3</v>
      </c>
      <c r="Q220" s="213">
        <f t="shared" si="50"/>
        <v>4.3086564825696172E-3</v>
      </c>
      <c r="R220" s="213">
        <f t="shared" si="50"/>
        <v>1.7238689547582009E-2</v>
      </c>
      <c r="S220" s="213">
        <f t="shared" si="50"/>
        <v>2.5151445441300435E-2</v>
      </c>
      <c r="T220" s="213">
        <f t="shared" si="50"/>
        <v>3.5903956915251722E-2</v>
      </c>
      <c r="U220" s="213">
        <f t="shared" si="50"/>
        <v>3.1987869160228222E-2</v>
      </c>
      <c r="V220" s="213">
        <f t="shared" si="50"/>
        <v>2.8967254408060361E-2</v>
      </c>
      <c r="W220" s="213">
        <f t="shared" si="50"/>
        <v>2.7743778049775569E-2</v>
      </c>
      <c r="X220" s="213">
        <f t="shared" si="50"/>
        <v>2.6730183935424146E-2</v>
      </c>
      <c r="Y220" s="213">
        <f t="shared" si="50"/>
        <v>2.867637582162641E-2</v>
      </c>
      <c r="Z220" s="213">
        <f t="shared" si="50"/>
        <v>3.3264423980454705E-2</v>
      </c>
      <c r="AA220" s="213">
        <f t="shared" si="50"/>
        <v>3.7165029707772579E-2</v>
      </c>
      <c r="AB220" s="213">
        <f t="shared" si="50"/>
        <v>3.9282165195533958E-2</v>
      </c>
      <c r="AC220" s="213">
        <f t="shared" si="50"/>
        <v>2.8629281736880507E-2</v>
      </c>
      <c r="AD220" s="213">
        <f t="shared" si="50"/>
        <v>1.8372703412073532E-2</v>
      </c>
      <c r="AE220" s="213">
        <f t="shared" si="50"/>
        <v>9.1280068728523123E-3</v>
      </c>
      <c r="AF220" s="213">
        <f t="shared" si="50"/>
        <v>1.9687134191763711E-3</v>
      </c>
      <c r="AG220" s="213">
        <f t="shared" si="50"/>
        <v>-7.9655886570016987E-3</v>
      </c>
      <c r="AH220" s="213">
        <f t="shared" si="50"/>
        <v>-1.1080777260317975E-2</v>
      </c>
      <c r="AI220" s="213">
        <f t="shared" si="50"/>
        <v>-1.023059434881457E-2</v>
      </c>
      <c r="AJ220" s="213">
        <f t="shared" ref="AJ220:BF220" si="51">SUM(AJ$49:AJ$53)/SUM(AI$49:AI$53)-1</f>
        <v>-1.0391030899644549E-2</v>
      </c>
      <c r="AK220" s="213">
        <f t="shared" si="51"/>
        <v>-7.0185134014921768E-3</v>
      </c>
      <c r="AL220" s="213">
        <f t="shared" si="51"/>
        <v>-7.8472840605521288E-3</v>
      </c>
      <c r="AM220" s="213">
        <f t="shared" si="51"/>
        <v>-8.638581926291633E-3</v>
      </c>
      <c r="AN220" s="213">
        <f t="shared" si="51"/>
        <v>-6.903185650427246E-3</v>
      </c>
      <c r="AO220" s="213">
        <f t="shared" si="51"/>
        <v>-6.8372172525776875E-4</v>
      </c>
      <c r="AP220" s="213">
        <f t="shared" si="51"/>
        <v>-5.9296425109754969E-3</v>
      </c>
      <c r="AQ220" s="213">
        <f t="shared" si="51"/>
        <v>4.5884714654431669E-4</v>
      </c>
      <c r="AR220" s="213">
        <f t="shared" si="51"/>
        <v>1.5536318293871476E-2</v>
      </c>
      <c r="AS220" s="213">
        <f t="shared" si="51"/>
        <v>1.9589025629445533E-2</v>
      </c>
      <c r="AT220" s="213">
        <f t="shared" si="51"/>
        <v>1.3841979956813022E-2</v>
      </c>
      <c r="AU220" s="213">
        <f t="shared" si="51"/>
        <v>1.4035279340287365E-2</v>
      </c>
      <c r="AV220" s="213">
        <f t="shared" si="51"/>
        <v>8.1322705730288991E-3</v>
      </c>
      <c r="AW220" s="213">
        <f t="shared" si="51"/>
        <v>-3.0450344569689092E-3</v>
      </c>
      <c r="AX220" s="213">
        <f t="shared" si="51"/>
        <v>-9.1094202121958512E-3</v>
      </c>
      <c r="AY220" s="213">
        <f t="shared" si="51"/>
        <v>-7.1382219338091968E-3</v>
      </c>
      <c r="AZ220" s="213">
        <f t="shared" si="51"/>
        <v>-5.6100217864923918E-3</v>
      </c>
      <c r="BA220" s="213">
        <f t="shared" si="51"/>
        <v>-1.6979788574245092E-3</v>
      </c>
      <c r="BB220" s="213">
        <f t="shared" si="51"/>
        <v>3.6212004828266586E-3</v>
      </c>
      <c r="BC220" s="213">
        <f t="shared" si="51"/>
        <v>4.4828340258036281E-3</v>
      </c>
      <c r="BD220" s="213">
        <f t="shared" si="51"/>
        <v>5.1159246761729449E-3</v>
      </c>
      <c r="BE220" s="213">
        <f t="shared" si="51"/>
        <v>5.252328351743607E-3</v>
      </c>
      <c r="BF220" s="213">
        <f t="shared" si="51"/>
        <v>5.0094263398869909E-3</v>
      </c>
    </row>
    <row r="221" spans="1:58" x14ac:dyDescent="0.2">
      <c r="A221" s="310" t="s">
        <v>236</v>
      </c>
      <c r="B221" s="311"/>
      <c r="C221" s="312"/>
      <c r="D221" s="213">
        <f t="shared" ref="D221:AI221" si="52">SUM(D$54:D$58)/SUM(C$54:C$58)-1</f>
        <v>2.226394849785418E-2</v>
      </c>
      <c r="E221" s="213">
        <f t="shared" si="52"/>
        <v>1.8433482025715042E-2</v>
      </c>
      <c r="F221" s="213">
        <f t="shared" si="52"/>
        <v>8.3735909822866272E-3</v>
      </c>
      <c r="G221" s="213">
        <f t="shared" si="52"/>
        <v>-2.6189715745768005E-3</v>
      </c>
      <c r="H221" s="213">
        <f t="shared" si="52"/>
        <v>-1.2809017548354062E-2</v>
      </c>
      <c r="I221" s="213">
        <f t="shared" si="52"/>
        <v>-1.9981834695731115E-2</v>
      </c>
      <c r="J221" s="213">
        <f t="shared" si="52"/>
        <v>-1.7741294849728639E-2</v>
      </c>
      <c r="K221" s="213">
        <f t="shared" si="52"/>
        <v>-1.1591858741070271E-2</v>
      </c>
      <c r="L221" s="213">
        <f t="shared" si="52"/>
        <v>-5.8639029046775315E-3</v>
      </c>
      <c r="M221" s="213">
        <f t="shared" si="52"/>
        <v>1.3717421124836982E-4</v>
      </c>
      <c r="N221" s="213">
        <f t="shared" si="52"/>
        <v>4.1146619119469818E-4</v>
      </c>
      <c r="O221" s="213">
        <f t="shared" si="52"/>
        <v>-9.4598299972580291E-3</v>
      </c>
      <c r="P221" s="213">
        <f t="shared" si="52"/>
        <v>-2.0138408304498312E-2</v>
      </c>
      <c r="Q221" s="213">
        <f t="shared" si="52"/>
        <v>-2.3518610071332713E-2</v>
      </c>
      <c r="R221" s="213">
        <f t="shared" si="52"/>
        <v>-3.269202950961958E-2</v>
      </c>
      <c r="S221" s="213">
        <f t="shared" si="52"/>
        <v>-3.080604157320177E-2</v>
      </c>
      <c r="T221" s="213">
        <f t="shared" si="52"/>
        <v>-2.3916062336059252E-2</v>
      </c>
      <c r="U221" s="213">
        <f t="shared" si="52"/>
        <v>-8.6942775845716413E-3</v>
      </c>
      <c r="V221" s="213">
        <f t="shared" si="52"/>
        <v>4.4649976080370912E-3</v>
      </c>
      <c r="W221" s="213">
        <f t="shared" si="52"/>
        <v>1.770122241625649E-2</v>
      </c>
      <c r="X221" s="213">
        <f t="shared" si="52"/>
        <v>2.5583027844941819E-2</v>
      </c>
      <c r="Y221" s="213">
        <f t="shared" si="52"/>
        <v>3.6580728572515042E-2</v>
      </c>
      <c r="Z221" s="213">
        <f t="shared" si="52"/>
        <v>3.2208363903154735E-2</v>
      </c>
      <c r="AA221" s="213">
        <f t="shared" si="52"/>
        <v>2.9355320207548496E-2</v>
      </c>
      <c r="AB221" s="213">
        <f t="shared" si="52"/>
        <v>2.8241955531004059E-2</v>
      </c>
      <c r="AC221" s="213">
        <f t="shared" si="52"/>
        <v>2.7130481498891967E-2</v>
      </c>
      <c r="AD221" s="213">
        <f t="shared" si="52"/>
        <v>2.9094475318731661E-2</v>
      </c>
      <c r="AE221" s="213">
        <f t="shared" si="52"/>
        <v>3.3672172808132173E-2</v>
      </c>
      <c r="AF221" s="213">
        <f t="shared" si="52"/>
        <v>3.76767055931162E-2</v>
      </c>
      <c r="AG221" s="213">
        <f t="shared" si="52"/>
        <v>3.9625658946869535E-2</v>
      </c>
      <c r="AH221" s="213">
        <f t="shared" si="52"/>
        <v>2.8942570647219723E-2</v>
      </c>
      <c r="AI221" s="213">
        <f t="shared" si="52"/>
        <v>1.8604651162790642E-2</v>
      </c>
      <c r="AJ221" s="213">
        <f t="shared" ref="AJ221:BF221" si="53">SUM(AJ$54:AJ$58)/SUM(AI$54:AI$58)-1</f>
        <v>9.2954990215263766E-3</v>
      </c>
      <c r="AK221" s="213">
        <f t="shared" si="53"/>
        <v>2.0466418915279228E-3</v>
      </c>
      <c r="AL221" s="213">
        <f t="shared" si="53"/>
        <v>-7.9011018543402312E-3</v>
      </c>
      <c r="AM221" s="213">
        <f t="shared" si="53"/>
        <v>-1.1052118322678495E-2</v>
      </c>
      <c r="AN221" s="213">
        <f t="shared" si="53"/>
        <v>-1.0189547496439189E-2</v>
      </c>
      <c r="AO221" s="213">
        <f t="shared" si="53"/>
        <v>-1.0349789683418154E-2</v>
      </c>
      <c r="AP221" s="213">
        <f t="shared" si="53"/>
        <v>-7.0465857614226968E-3</v>
      </c>
      <c r="AQ221" s="213">
        <f t="shared" si="53"/>
        <v>-7.7724584624049298E-3</v>
      </c>
      <c r="AR221" s="213">
        <f t="shared" si="53"/>
        <v>-8.7415564511551525E-3</v>
      </c>
      <c r="AS221" s="213">
        <f t="shared" si="53"/>
        <v>-6.7571436751989733E-3</v>
      </c>
      <c r="AT221" s="213">
        <f t="shared" si="53"/>
        <v>-6.3418852695296124E-4</v>
      </c>
      <c r="AU221" s="213">
        <f t="shared" si="53"/>
        <v>-5.8266989731163843E-3</v>
      </c>
      <c r="AV221" s="213">
        <f t="shared" si="53"/>
        <v>5.2225381535420112E-4</v>
      </c>
      <c r="AW221" s="213">
        <f t="shared" si="53"/>
        <v>1.5775432084444985E-2</v>
      </c>
      <c r="AX221" s="213">
        <f t="shared" si="53"/>
        <v>1.9812721251570187E-2</v>
      </c>
      <c r="AY221" s="213">
        <f t="shared" si="53"/>
        <v>1.3996976653043003E-2</v>
      </c>
      <c r="AZ221" s="213">
        <f t="shared" si="53"/>
        <v>1.4190271105957608E-2</v>
      </c>
      <c r="BA221" s="213">
        <f t="shared" si="53"/>
        <v>8.2752613240417716E-3</v>
      </c>
      <c r="BB221" s="213">
        <f t="shared" si="53"/>
        <v>-2.9697624190064831E-3</v>
      </c>
      <c r="BC221" s="213">
        <f t="shared" si="53"/>
        <v>-9.2066070945031608E-3</v>
      </c>
      <c r="BD221" s="213">
        <f t="shared" si="53"/>
        <v>-7.1057666028969679E-3</v>
      </c>
      <c r="BE221" s="213">
        <f t="shared" si="53"/>
        <v>-5.5601431323974992E-3</v>
      </c>
      <c r="BF221" s="213">
        <f t="shared" si="53"/>
        <v>-1.6607617360495652E-3</v>
      </c>
    </row>
    <row r="222" spans="1:58" x14ac:dyDescent="0.2">
      <c r="A222" s="310" t="s">
        <v>237</v>
      </c>
      <c r="B222" s="311"/>
      <c r="C222" s="312"/>
      <c r="D222" s="213">
        <f t="shared" ref="D222:AI222" si="54">SUM(D$59:D$63)/SUM(C$59:C$63)-1</f>
        <v>2.2781497729546629E-2</v>
      </c>
      <c r="E222" s="213">
        <f t="shared" si="54"/>
        <v>2.0693806907968959E-2</v>
      </c>
      <c r="F222" s="213">
        <f t="shared" si="54"/>
        <v>2.6172220583898564E-2</v>
      </c>
      <c r="G222" s="213">
        <f t="shared" si="54"/>
        <v>2.4714419139306054E-2</v>
      </c>
      <c r="H222" s="213">
        <f t="shared" si="54"/>
        <v>2.0542662833905823E-2</v>
      </c>
      <c r="I222" s="213">
        <f t="shared" si="54"/>
        <v>1.9648255015114025E-2</v>
      </c>
      <c r="J222" s="213">
        <f t="shared" si="54"/>
        <v>1.7450478372186939E-2</v>
      </c>
      <c r="K222" s="213">
        <f t="shared" si="54"/>
        <v>6.2909741076750958E-3</v>
      </c>
      <c r="L222" s="213">
        <f t="shared" si="54"/>
        <v>-3.0271123979994652E-3</v>
      </c>
      <c r="M222" s="213">
        <f t="shared" si="54"/>
        <v>-1.1749174917491723E-2</v>
      </c>
      <c r="N222" s="213">
        <f t="shared" si="54"/>
        <v>-1.8100454181138148E-2</v>
      </c>
      <c r="O222" s="213">
        <f t="shared" si="54"/>
        <v>-1.5985307121964443E-2</v>
      </c>
      <c r="P222" s="213">
        <f t="shared" si="54"/>
        <v>-1.0783907092492773E-2</v>
      </c>
      <c r="Q222" s="213">
        <f t="shared" si="54"/>
        <v>-5.7302585604472878E-3</v>
      </c>
      <c r="R222" s="213">
        <f t="shared" si="54"/>
        <v>2.8113578858590671E-4</v>
      </c>
      <c r="S222" s="213">
        <f t="shared" si="54"/>
        <v>7.0264193367064465E-4</v>
      </c>
      <c r="T222" s="213">
        <f t="shared" si="54"/>
        <v>-9.1981463277629461E-3</v>
      </c>
      <c r="U222" s="213">
        <f t="shared" si="54"/>
        <v>-2.0197009425271029E-2</v>
      </c>
      <c r="V222" s="213">
        <f t="shared" si="54"/>
        <v>-2.3651092145233643E-2</v>
      </c>
      <c r="W222" s="213">
        <f t="shared" si="54"/>
        <v>-3.296540484480337E-2</v>
      </c>
      <c r="X222" s="213">
        <f t="shared" si="54"/>
        <v>-3.1178182932434462E-2</v>
      </c>
      <c r="Y222" s="213">
        <f t="shared" si="54"/>
        <v>-2.3879180833399238E-2</v>
      </c>
      <c r="Z222" s="213">
        <f t="shared" si="54"/>
        <v>-8.5864722559740869E-3</v>
      </c>
      <c r="AA222" s="213">
        <f t="shared" si="54"/>
        <v>4.8206552822942506E-3</v>
      </c>
      <c r="AB222" s="213">
        <f t="shared" si="54"/>
        <v>1.8214343795739163E-2</v>
      </c>
      <c r="AC222" s="213">
        <f t="shared" si="54"/>
        <v>2.6193898738220645E-2</v>
      </c>
      <c r="AD222" s="213">
        <f t="shared" si="54"/>
        <v>3.7198443579766538E-2</v>
      </c>
      <c r="AE222" s="213">
        <f t="shared" si="54"/>
        <v>3.3088235294117752E-2</v>
      </c>
      <c r="AF222" s="213">
        <f t="shared" si="54"/>
        <v>2.992228920037765E-2</v>
      </c>
      <c r="AG222" s="213">
        <f t="shared" si="54"/>
        <v>2.8700373739510621E-2</v>
      </c>
      <c r="AH222" s="213">
        <f t="shared" si="54"/>
        <v>2.7693995064436594E-2</v>
      </c>
      <c r="AI222" s="213">
        <f t="shared" si="54"/>
        <v>2.9615795090714991E-2</v>
      </c>
      <c r="AJ222" s="213">
        <f t="shared" ref="AJ222:BF222" si="55">SUM(AJ$59:AJ$63)/SUM(AI$59:AI$63)-1</f>
        <v>3.4335320031096073E-2</v>
      </c>
      <c r="AK222" s="213">
        <f t="shared" si="55"/>
        <v>3.8206188149818354E-2</v>
      </c>
      <c r="AL222" s="213">
        <f t="shared" si="55"/>
        <v>4.0359555984555984E-2</v>
      </c>
      <c r="AM222" s="213">
        <f t="shared" si="55"/>
        <v>2.9399826036532239E-2</v>
      </c>
      <c r="AN222" s="213">
        <f t="shared" si="55"/>
        <v>1.8927444794952786E-2</v>
      </c>
      <c r="AO222" s="213">
        <f t="shared" si="55"/>
        <v>9.5643520566122131E-3</v>
      </c>
      <c r="AP222" s="213">
        <f t="shared" si="55"/>
        <v>2.2452220579376458E-3</v>
      </c>
      <c r="AQ222" s="213">
        <f t="shared" si="55"/>
        <v>-7.8133537318325619E-3</v>
      </c>
      <c r="AR222" s="213">
        <f t="shared" si="55"/>
        <v>-1.1123960570516012E-2</v>
      </c>
      <c r="AS222" s="213">
        <f t="shared" si="55"/>
        <v>-1.0135323272261521E-2</v>
      </c>
      <c r="AT222" s="213">
        <f t="shared" si="55"/>
        <v>-1.0464135021096999E-2</v>
      </c>
      <c r="AU222" s="213">
        <f t="shared" si="55"/>
        <v>-6.7655921314457856E-3</v>
      </c>
      <c r="AV222" s="213">
        <f t="shared" si="55"/>
        <v>-7.8992558672008606E-3</v>
      </c>
      <c r="AW222" s="213">
        <f t="shared" si="55"/>
        <v>-8.5968151396261794E-3</v>
      </c>
      <c r="AX222" s="213">
        <f t="shared" si="55"/>
        <v>-6.7508584065646415E-3</v>
      </c>
      <c r="AY222" s="213">
        <f t="shared" si="55"/>
        <v>-5.273334505185856E-4</v>
      </c>
      <c r="AZ222" s="213">
        <f t="shared" si="55"/>
        <v>-5.8037284558565272E-3</v>
      </c>
      <c r="BA222" s="213">
        <f t="shared" si="55"/>
        <v>6.4862314994984516E-4</v>
      </c>
      <c r="BB222" s="213">
        <f t="shared" si="55"/>
        <v>1.6087212728344236E-2</v>
      </c>
      <c r="BC222" s="213">
        <f t="shared" si="55"/>
        <v>2.0066113785304207E-2</v>
      </c>
      <c r="BD222" s="213">
        <f t="shared" si="55"/>
        <v>1.4383989993746127E-2</v>
      </c>
      <c r="BE222" s="213">
        <f t="shared" si="55"/>
        <v>1.4460262302432358E-2</v>
      </c>
      <c r="BF222" s="213">
        <f t="shared" si="55"/>
        <v>8.3425414364641792E-3</v>
      </c>
    </row>
    <row r="223" spans="1:58" x14ac:dyDescent="0.2">
      <c r="A223" s="310" t="s">
        <v>238</v>
      </c>
      <c r="B223" s="311"/>
      <c r="C223" s="312"/>
      <c r="D223" s="213">
        <f t="shared" ref="D223:AI223" si="56">SUM(D$64:D$68)/SUM(C$64:C$68)-1</f>
        <v>-8.3277814790116977E-5</v>
      </c>
      <c r="E223" s="213">
        <f t="shared" si="56"/>
        <v>2.6651120179894683E-3</v>
      </c>
      <c r="F223" s="213">
        <f t="shared" si="56"/>
        <v>1.0382922169615449E-2</v>
      </c>
      <c r="G223" s="213">
        <f t="shared" si="56"/>
        <v>1.4715554094048011E-2</v>
      </c>
      <c r="H223" s="213">
        <f t="shared" si="56"/>
        <v>2.2036781981690012E-2</v>
      </c>
      <c r="I223" s="213">
        <f t="shared" si="56"/>
        <v>2.2116527942925179E-2</v>
      </c>
      <c r="J223" s="213">
        <f t="shared" si="56"/>
        <v>2.1017527532185554E-2</v>
      </c>
      <c r="K223" s="213">
        <f t="shared" si="56"/>
        <v>2.6053930877326215E-2</v>
      </c>
      <c r="L223" s="213">
        <f t="shared" si="56"/>
        <v>2.428190701806332E-2</v>
      </c>
      <c r="M223" s="213">
        <f t="shared" si="56"/>
        <v>2.2766695576756257E-2</v>
      </c>
      <c r="N223" s="213">
        <f t="shared" si="56"/>
        <v>2.1835912656349432E-2</v>
      </c>
      <c r="O223" s="213">
        <f t="shared" si="56"/>
        <v>1.9294605809128562E-2</v>
      </c>
      <c r="P223" s="213">
        <f t="shared" si="56"/>
        <v>7.2596512653504419E-3</v>
      </c>
      <c r="Q223" s="213">
        <f t="shared" si="56"/>
        <v>-2.5596120167048486E-3</v>
      </c>
      <c r="R223" s="213">
        <f t="shared" si="56"/>
        <v>-1.1480280929227482E-2</v>
      </c>
      <c r="S223" s="213">
        <f t="shared" si="56"/>
        <v>-1.7761989342806372E-2</v>
      </c>
      <c r="T223" s="213">
        <f t="shared" si="56"/>
        <v>-1.5648908053971344E-2</v>
      </c>
      <c r="U223" s="213">
        <f t="shared" si="56"/>
        <v>-1.045714689465127E-2</v>
      </c>
      <c r="V223" s="213">
        <f t="shared" si="56"/>
        <v>-5.4266333452338555E-3</v>
      </c>
      <c r="W223" s="213">
        <f t="shared" si="56"/>
        <v>7.8971929068849533E-4</v>
      </c>
      <c r="X223" s="213">
        <f t="shared" si="56"/>
        <v>1.1477761836442557E-3</v>
      </c>
      <c r="Y223" s="213">
        <f t="shared" si="56"/>
        <v>-9.0283748925193974E-3</v>
      </c>
      <c r="Z223" s="213">
        <f t="shared" si="56"/>
        <v>-1.9956616052060783E-2</v>
      </c>
      <c r="AA223" s="213">
        <f t="shared" si="56"/>
        <v>-2.3535487678914002E-2</v>
      </c>
      <c r="AB223" s="213">
        <f t="shared" si="56"/>
        <v>-3.2791839818662627E-2</v>
      </c>
      <c r="AC223" s="213">
        <f t="shared" si="56"/>
        <v>-3.1013202093586489E-2</v>
      </c>
      <c r="AD223" s="213">
        <f t="shared" si="56"/>
        <v>-2.3782650757820045E-2</v>
      </c>
      <c r="AE223" s="213">
        <f t="shared" si="56"/>
        <v>-8.2583202576596015E-3</v>
      </c>
      <c r="AF223" s="213">
        <f t="shared" si="56"/>
        <v>5.0795236905654129E-3</v>
      </c>
      <c r="AG223" s="213">
        <f t="shared" si="56"/>
        <v>1.8724109362054708E-2</v>
      </c>
      <c r="AH223" s="213">
        <f t="shared" si="56"/>
        <v>2.6675341574495803E-2</v>
      </c>
      <c r="AI223" s="213">
        <f t="shared" si="56"/>
        <v>3.7943599493029057E-2</v>
      </c>
      <c r="AJ223" s="213">
        <f t="shared" ref="AJ223:BF223" si="57">SUM(AJ$64:AJ$68)/SUM(AI$64:AI$68)-1</f>
        <v>3.3274822559719253E-2</v>
      </c>
      <c r="AK223" s="213">
        <f t="shared" si="57"/>
        <v>3.0504468572272625E-2</v>
      </c>
      <c r="AL223" s="213">
        <f t="shared" si="57"/>
        <v>2.924311926605494E-2</v>
      </c>
      <c r="AM223" s="213">
        <f t="shared" si="57"/>
        <v>2.8133704735376019E-2</v>
      </c>
      <c r="AN223" s="213">
        <f t="shared" si="57"/>
        <v>3.0140883229477167E-2</v>
      </c>
      <c r="AO223" s="213">
        <f t="shared" si="57"/>
        <v>3.4716286409362862E-2</v>
      </c>
      <c r="AP223" s="213">
        <f t="shared" si="57"/>
        <v>3.869860837516681E-2</v>
      </c>
      <c r="AQ223" s="213">
        <f t="shared" si="57"/>
        <v>4.0743912883886013E-2</v>
      </c>
      <c r="AR223" s="213">
        <f t="shared" si="57"/>
        <v>2.9861274394545001E-2</v>
      </c>
      <c r="AS223" s="213">
        <f t="shared" si="57"/>
        <v>1.9235159817351688E-2</v>
      </c>
      <c r="AT223" s="213">
        <f t="shared" si="57"/>
        <v>9.8000784006271324E-3</v>
      </c>
      <c r="AU223" s="213">
        <f t="shared" si="57"/>
        <v>2.3291925465838137E-3</v>
      </c>
      <c r="AV223" s="213">
        <f t="shared" si="57"/>
        <v>-7.6906052893659371E-3</v>
      </c>
      <c r="AW223" s="213">
        <f t="shared" si="57"/>
        <v>-1.0928352383607454E-2</v>
      </c>
      <c r="AX223" s="213">
        <f t="shared" si="57"/>
        <v>-9.9216415806978597E-3</v>
      </c>
      <c r="AY223" s="213">
        <f t="shared" si="57"/>
        <v>-1.030575641974607E-2</v>
      </c>
      <c r="AZ223" s="213">
        <f t="shared" si="57"/>
        <v>-6.673570360142711E-3</v>
      </c>
      <c r="BA223" s="213">
        <f t="shared" si="57"/>
        <v>-7.7609174099385614E-3</v>
      </c>
      <c r="BB223" s="213">
        <f t="shared" si="57"/>
        <v>-8.5220639738501358E-3</v>
      </c>
      <c r="BC223" s="213">
        <f t="shared" si="57"/>
        <v>-6.5936653714824267E-3</v>
      </c>
      <c r="BD223" s="213">
        <f t="shared" si="57"/>
        <v>-3.5557662676310997E-4</v>
      </c>
      <c r="BE223" s="213">
        <f t="shared" si="57"/>
        <v>-5.691249703580703E-3</v>
      </c>
      <c r="BF223" s="213">
        <f t="shared" si="57"/>
        <v>8.3472454090149917E-4</v>
      </c>
    </row>
    <row r="224" spans="1:58" x14ac:dyDescent="0.2">
      <c r="A224" s="310" t="s">
        <v>239</v>
      </c>
      <c r="B224" s="311"/>
      <c r="C224" s="312"/>
      <c r="D224" s="213">
        <f t="shared" ref="D224:AI224" si="58">SUM(D$69:D$73)/SUM(C$69:C$73)-1</f>
        <v>5.7997823721436248E-2</v>
      </c>
      <c r="E224" s="213">
        <f t="shared" si="58"/>
        <v>7.0862902396379823E-2</v>
      </c>
      <c r="F224" s="213">
        <f t="shared" si="58"/>
        <v>4.4756050710718309E-2</v>
      </c>
      <c r="G224" s="213">
        <f t="shared" si="58"/>
        <v>3.9621253906968246E-2</v>
      </c>
      <c r="H224" s="213">
        <f t="shared" si="58"/>
        <v>2.8384472543991457E-2</v>
      </c>
      <c r="I224" s="213">
        <f t="shared" si="58"/>
        <v>6.8787618228727254E-4</v>
      </c>
      <c r="J224" s="213">
        <f t="shared" si="58"/>
        <v>4.8977487540815545E-3</v>
      </c>
      <c r="K224" s="213">
        <f t="shared" si="58"/>
        <v>1.197092774690045E-2</v>
      </c>
      <c r="L224" s="213">
        <f t="shared" si="58"/>
        <v>1.5040135192226467E-2</v>
      </c>
      <c r="M224" s="213">
        <f t="shared" si="58"/>
        <v>2.4473487055689747E-2</v>
      </c>
      <c r="N224" s="213">
        <f t="shared" si="58"/>
        <v>2.4132607459169675E-2</v>
      </c>
      <c r="O224" s="213">
        <f t="shared" si="58"/>
        <v>2.2691209139955593E-2</v>
      </c>
      <c r="P224" s="213">
        <f t="shared" si="58"/>
        <v>2.6997672614429868E-2</v>
      </c>
      <c r="Q224" s="213">
        <f t="shared" si="58"/>
        <v>2.4701616558392425E-2</v>
      </c>
      <c r="R224" s="213">
        <f t="shared" si="58"/>
        <v>2.3368964246221813E-2</v>
      </c>
      <c r="S224" s="213">
        <f t="shared" si="58"/>
        <v>2.2475147673245877E-2</v>
      </c>
      <c r="T224" s="213">
        <f t="shared" si="58"/>
        <v>1.9797097365083838E-2</v>
      </c>
      <c r="U224" s="213">
        <f t="shared" si="58"/>
        <v>7.9447322970638279E-3</v>
      </c>
      <c r="V224" s="213">
        <f t="shared" si="58"/>
        <v>-2.1932830705962969E-3</v>
      </c>
      <c r="W224" s="213">
        <f t="shared" si="58"/>
        <v>-1.0715757659019109E-2</v>
      </c>
      <c r="X224" s="213">
        <f t="shared" si="58"/>
        <v>-1.7080960977642001E-2</v>
      </c>
      <c r="Y224" s="213">
        <f t="shared" si="58"/>
        <v>-1.4975981915795411E-2</v>
      </c>
      <c r="Z224" s="213">
        <f t="shared" si="58"/>
        <v>-9.7532989099253786E-3</v>
      </c>
      <c r="AA224" s="213">
        <f t="shared" si="58"/>
        <v>-4.6349942062572369E-3</v>
      </c>
      <c r="AB224" s="213">
        <f t="shared" si="58"/>
        <v>1.3096623981374567E-3</v>
      </c>
      <c r="AC224" s="213">
        <f t="shared" si="58"/>
        <v>1.6712687109432522E-3</v>
      </c>
      <c r="AD224" s="213">
        <f t="shared" si="58"/>
        <v>-8.4149437794703852E-3</v>
      </c>
      <c r="AE224" s="213">
        <f t="shared" si="58"/>
        <v>-1.9460092179384048E-2</v>
      </c>
      <c r="AF224" s="213">
        <f t="shared" si="58"/>
        <v>-2.283070954263966E-2</v>
      </c>
      <c r="AG224" s="213">
        <f t="shared" si="58"/>
        <v>-3.214476597694127E-2</v>
      </c>
      <c r="AH224" s="213">
        <f t="shared" si="58"/>
        <v>-3.0293467970968768E-2</v>
      </c>
      <c r="AI224" s="213">
        <f t="shared" si="58"/>
        <v>-2.3023104458184229E-2</v>
      </c>
      <c r="AJ224" s="213">
        <f t="shared" ref="AJ224:BF224" si="59">SUM(AJ$69:AJ$73)/SUM(AI$69:AI$73)-1</f>
        <v>-7.7441918561079737E-3</v>
      </c>
      <c r="AK224" s="213">
        <f t="shared" si="59"/>
        <v>5.7066129573681845E-3</v>
      </c>
      <c r="AL224" s="213">
        <f t="shared" si="59"/>
        <v>1.8858477970627563E-2</v>
      </c>
      <c r="AM224" s="213">
        <f t="shared" si="59"/>
        <v>2.6945126945126852E-2</v>
      </c>
      <c r="AN224" s="213">
        <f t="shared" si="59"/>
        <v>3.7961559933008981E-2</v>
      </c>
      <c r="AO224" s="213">
        <f t="shared" si="59"/>
        <v>3.3653476757587342E-2</v>
      </c>
      <c r="AP224" s="213">
        <f t="shared" si="59"/>
        <v>3.0625139374117261E-2</v>
      </c>
      <c r="AQ224" s="213">
        <f t="shared" si="59"/>
        <v>2.9426613775694221E-2</v>
      </c>
      <c r="AR224" s="213">
        <f t="shared" si="59"/>
        <v>2.8235129265045789E-2</v>
      </c>
      <c r="AS224" s="213">
        <f t="shared" si="59"/>
        <v>3.0253475061324586E-2</v>
      </c>
      <c r="AT224" s="213">
        <f t="shared" si="59"/>
        <v>3.4854497354497305E-2</v>
      </c>
      <c r="AU224" s="213">
        <f t="shared" si="59"/>
        <v>3.8857288937176548E-2</v>
      </c>
      <c r="AV224" s="213">
        <f t="shared" si="59"/>
        <v>4.0910489080282941E-2</v>
      </c>
      <c r="AW224" s="213">
        <f t="shared" si="59"/>
        <v>2.9905437352245823E-2</v>
      </c>
      <c r="AX224" s="213">
        <f t="shared" si="59"/>
        <v>1.9396304372776285E-2</v>
      </c>
      <c r="AY224" s="213">
        <f t="shared" si="59"/>
        <v>1.0020265705922071E-2</v>
      </c>
      <c r="AZ224" s="213">
        <f t="shared" si="59"/>
        <v>2.6752870360049474E-3</v>
      </c>
      <c r="BA224" s="213">
        <f t="shared" si="59"/>
        <v>-7.3374096720399962E-3</v>
      </c>
      <c r="BB224" s="213">
        <f t="shared" si="59"/>
        <v>-1.0583491992384397E-2</v>
      </c>
      <c r="BC224" s="213">
        <f t="shared" si="59"/>
        <v>-9.7911596581583549E-3</v>
      </c>
      <c r="BD224" s="213">
        <f t="shared" si="59"/>
        <v>-9.9451303155007054E-3</v>
      </c>
      <c r="BE224" s="213">
        <f t="shared" si="59"/>
        <v>-6.3503059692876507E-3</v>
      </c>
      <c r="BF224" s="213">
        <f t="shared" si="59"/>
        <v>-7.4366720892400373E-3</v>
      </c>
    </row>
    <row r="225" spans="1:58" x14ac:dyDescent="0.2">
      <c r="A225" s="310" t="s">
        <v>240</v>
      </c>
      <c r="B225" s="313"/>
      <c r="C225" s="312"/>
      <c r="D225" s="213">
        <f t="shared" ref="D225:AI225" si="60">SUM(D$74:D$99)/SUM(C$74:C$99)-1</f>
        <v>3.4417995195457518E-2</v>
      </c>
      <c r="E225" s="213">
        <f t="shared" si="60"/>
        <v>2.4996833171473165E-2</v>
      </c>
      <c r="F225" s="213">
        <f t="shared" si="60"/>
        <v>3.2173017507723944E-2</v>
      </c>
      <c r="G225" s="213">
        <f t="shared" si="60"/>
        <v>3.3924010217113665E-2</v>
      </c>
      <c r="H225" s="213">
        <f t="shared" si="60"/>
        <v>3.5706014050798984E-2</v>
      </c>
      <c r="I225" s="213">
        <f t="shared" si="60"/>
        <v>4.524617047445112E-2</v>
      </c>
      <c r="J225" s="213">
        <f t="shared" si="60"/>
        <v>4.1219468711000129E-2</v>
      </c>
      <c r="K225" s="213">
        <f t="shared" si="60"/>
        <v>3.8628814081709484E-2</v>
      </c>
      <c r="L225" s="213">
        <f t="shared" si="60"/>
        <v>3.715915460450403E-2</v>
      </c>
      <c r="M225" s="213">
        <f t="shared" si="60"/>
        <v>3.4683367243133256E-2</v>
      </c>
      <c r="N225" s="213">
        <f t="shared" si="60"/>
        <v>3.4043076166774267E-2</v>
      </c>
      <c r="O225" s="213">
        <f t="shared" si="60"/>
        <v>3.2773733471995303E-2</v>
      </c>
      <c r="P225" s="213">
        <f t="shared" si="60"/>
        <v>3.2913286149951038E-2</v>
      </c>
      <c r="Q225" s="213">
        <f t="shared" si="60"/>
        <v>3.2616567322154788E-2</v>
      </c>
      <c r="R225" s="213">
        <f t="shared" si="60"/>
        <v>3.3609365306287664E-2</v>
      </c>
      <c r="S225" s="213">
        <f t="shared" si="60"/>
        <v>3.3064537174769759E-2</v>
      </c>
      <c r="T225" s="213">
        <f t="shared" si="60"/>
        <v>3.1475774263628464E-2</v>
      </c>
      <c r="U225" s="213">
        <f t="shared" si="60"/>
        <v>3.284188871473348E-2</v>
      </c>
      <c r="V225" s="213">
        <f t="shared" si="60"/>
        <v>3.191615488582733E-2</v>
      </c>
      <c r="W225" s="213">
        <f t="shared" si="60"/>
        <v>3.2054964498265059E-2</v>
      </c>
      <c r="X225" s="213">
        <f t="shared" si="60"/>
        <v>3.1348799928752724E-2</v>
      </c>
      <c r="Y225" s="213">
        <f t="shared" si="60"/>
        <v>2.9057467294158368E-2</v>
      </c>
      <c r="Z225" s="213">
        <f t="shared" si="60"/>
        <v>2.6726525132164225E-2</v>
      </c>
      <c r="AA225" s="213">
        <f t="shared" si="60"/>
        <v>2.3027256752891079E-2</v>
      </c>
      <c r="AB225" s="213">
        <f t="shared" si="60"/>
        <v>2.0931115061215477E-2</v>
      </c>
      <c r="AC225" s="213">
        <f t="shared" si="60"/>
        <v>1.887825967877621E-2</v>
      </c>
      <c r="AD225" s="213">
        <f t="shared" si="60"/>
        <v>1.7914058599900251E-2</v>
      </c>
      <c r="AE225" s="213">
        <f t="shared" si="60"/>
        <v>1.7579930208431627E-2</v>
      </c>
      <c r="AF225" s="213">
        <f t="shared" si="60"/>
        <v>1.5904498859992122E-2</v>
      </c>
      <c r="AG225" s="213">
        <f t="shared" si="60"/>
        <v>1.5619012863789861E-2</v>
      </c>
      <c r="AH225" s="213">
        <f t="shared" si="60"/>
        <v>1.4031368462657845E-2</v>
      </c>
      <c r="AI225" s="213">
        <f t="shared" si="60"/>
        <v>1.1002444987775029E-2</v>
      </c>
      <c r="AJ225" s="213">
        <f t="shared" ref="AJ225:BF225" si="61">SUM(AJ$74:AJ$99)/SUM(AI$74:AI$99)-1</f>
        <v>8.2014615425056725E-3</v>
      </c>
      <c r="AK225" s="213">
        <f t="shared" si="61"/>
        <v>6.2227320922632057E-3</v>
      </c>
      <c r="AL225" s="213">
        <f t="shared" si="61"/>
        <v>4.3531586311733594E-3</v>
      </c>
      <c r="AM225" s="213">
        <f t="shared" si="61"/>
        <v>3.7839046456029646E-3</v>
      </c>
      <c r="AN225" s="213">
        <f t="shared" si="61"/>
        <v>2.8614999742979652E-3</v>
      </c>
      <c r="AO225" s="213">
        <f t="shared" si="61"/>
        <v>3.5709404045927151E-3</v>
      </c>
      <c r="AP225" s="213">
        <f t="shared" si="61"/>
        <v>4.5286616613038344E-3</v>
      </c>
      <c r="AQ225" s="213">
        <f t="shared" si="61"/>
        <v>5.5251427893496796E-3</v>
      </c>
      <c r="AR225" s="213">
        <f t="shared" si="61"/>
        <v>6.7926309224830561E-3</v>
      </c>
      <c r="AS225" s="213">
        <f t="shared" si="61"/>
        <v>8.2870153351637388E-3</v>
      </c>
      <c r="AT225" s="213">
        <f t="shared" si="61"/>
        <v>8.5177744201105909E-3</v>
      </c>
      <c r="AU225" s="213">
        <f t="shared" si="61"/>
        <v>9.0549884754691501E-3</v>
      </c>
      <c r="AV225" s="213">
        <f t="shared" si="61"/>
        <v>1.0181106216348601E-2</v>
      </c>
      <c r="AW225" s="213">
        <f t="shared" si="61"/>
        <v>1.1338307975579109E-2</v>
      </c>
      <c r="AX225" s="213">
        <f t="shared" si="61"/>
        <v>1.354286444359265E-2</v>
      </c>
      <c r="AY225" s="213">
        <f t="shared" si="61"/>
        <v>1.5158199924366622E-2</v>
      </c>
      <c r="AZ225" s="213">
        <f t="shared" si="61"/>
        <v>1.7011765436314441E-2</v>
      </c>
      <c r="BA225" s="213">
        <f t="shared" si="61"/>
        <v>1.8818106895393871E-2</v>
      </c>
      <c r="BB225" s="213">
        <f t="shared" si="61"/>
        <v>1.7556737323046967E-2</v>
      </c>
      <c r="BC225" s="213">
        <f t="shared" si="61"/>
        <v>1.7106599732065408E-2</v>
      </c>
      <c r="BD225" s="213">
        <f t="shared" si="61"/>
        <v>1.6326766923822955E-2</v>
      </c>
      <c r="BE225" s="213">
        <f t="shared" si="61"/>
        <v>1.6292350855205973E-2</v>
      </c>
      <c r="BF225" s="213">
        <f t="shared" si="61"/>
        <v>1.5484648477459784E-2</v>
      </c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8"/>
  <sheetViews>
    <sheetView workbookViewId="0">
      <pane xSplit="2" ySplit="2" topLeftCell="C123" activePane="bottomRight" state="frozen"/>
      <selection activeCell="J72" sqref="J72"/>
      <selection pane="topRight" activeCell="J72" sqref="J72"/>
      <selection pane="bottomLeft" activeCell="J72" sqref="J72"/>
      <selection pane="bottomRight" activeCell="O2" sqref="O2"/>
    </sheetView>
  </sheetViews>
  <sheetFormatPr defaultRowHeight="12.75" x14ac:dyDescent="0.2"/>
  <cols>
    <col min="1" max="1" width="40.7109375" customWidth="1"/>
    <col min="2" max="2" width="12.7109375" customWidth="1"/>
    <col min="3" max="58" width="8.7109375" customWidth="1"/>
  </cols>
  <sheetData>
    <row r="1" spans="1:58" ht="18.75" x14ac:dyDescent="0.3">
      <c r="A1" s="384" t="s">
        <v>796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 t="s">
        <v>1063</v>
      </c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</row>
    <row r="2" spans="1:58" x14ac:dyDescent="0.2">
      <c r="C2" s="382" t="s">
        <v>441</v>
      </c>
      <c r="D2" s="382" t="s">
        <v>442</v>
      </c>
      <c r="E2" s="382" t="s">
        <v>443</v>
      </c>
      <c r="F2" s="382" t="s">
        <v>444</v>
      </c>
      <c r="G2" s="382" t="s">
        <v>445</v>
      </c>
      <c r="H2" s="382" t="s">
        <v>446</v>
      </c>
      <c r="I2" s="382" t="s">
        <v>447</v>
      </c>
      <c r="J2" s="382" t="s">
        <v>448</v>
      </c>
      <c r="K2" s="382" t="s">
        <v>449</v>
      </c>
      <c r="L2" s="382" t="s">
        <v>450</v>
      </c>
      <c r="M2" s="382" t="s">
        <v>451</v>
      </c>
      <c r="N2" s="382" t="s">
        <v>452</v>
      </c>
      <c r="O2" s="382" t="s">
        <v>453</v>
      </c>
      <c r="P2" s="382" t="s">
        <v>454</v>
      </c>
      <c r="Q2" s="382" t="s">
        <v>455</v>
      </c>
      <c r="R2" s="382" t="s">
        <v>456</v>
      </c>
      <c r="S2" s="382" t="s">
        <v>457</v>
      </c>
      <c r="T2" s="382" t="s">
        <v>458</v>
      </c>
      <c r="U2" s="382" t="s">
        <v>459</v>
      </c>
      <c r="V2" s="382" t="s">
        <v>460</v>
      </c>
      <c r="W2" s="382" t="s">
        <v>461</v>
      </c>
      <c r="X2" s="382" t="s">
        <v>462</v>
      </c>
      <c r="Y2" s="382" t="s">
        <v>463</v>
      </c>
      <c r="Z2" s="382" t="s">
        <v>464</v>
      </c>
      <c r="AA2" s="382" t="s">
        <v>465</v>
      </c>
      <c r="AB2" s="382" t="s">
        <v>466</v>
      </c>
      <c r="AC2" s="382" t="s">
        <v>467</v>
      </c>
      <c r="AD2" s="382" t="s">
        <v>468</v>
      </c>
      <c r="AE2" s="382" t="s">
        <v>469</v>
      </c>
      <c r="AF2" s="382" t="s">
        <v>470</v>
      </c>
      <c r="AG2" s="382" t="s">
        <v>471</v>
      </c>
      <c r="AH2" s="382" t="s">
        <v>472</v>
      </c>
      <c r="AI2" s="382" t="s">
        <v>473</v>
      </c>
      <c r="AJ2" s="382" t="s">
        <v>474</v>
      </c>
      <c r="AK2" s="382" t="s">
        <v>475</v>
      </c>
      <c r="AL2" s="382" t="s">
        <v>476</v>
      </c>
      <c r="AM2" s="382" t="s">
        <v>477</v>
      </c>
      <c r="AN2" s="382" t="s">
        <v>478</v>
      </c>
      <c r="AO2" s="382" t="s">
        <v>479</v>
      </c>
      <c r="AP2" s="382" t="s">
        <v>480</v>
      </c>
      <c r="AQ2" s="382" t="s">
        <v>481</v>
      </c>
      <c r="AR2" s="382" t="s">
        <v>482</v>
      </c>
      <c r="AS2" s="382" t="s">
        <v>483</v>
      </c>
      <c r="AT2" s="382" t="s">
        <v>484</v>
      </c>
      <c r="AU2" s="382" t="s">
        <v>485</v>
      </c>
      <c r="AV2" s="382" t="s">
        <v>486</v>
      </c>
      <c r="AW2" s="382" t="s">
        <v>487</v>
      </c>
      <c r="AX2" s="382" t="s">
        <v>488</v>
      </c>
      <c r="AY2" s="382" t="s">
        <v>489</v>
      </c>
      <c r="AZ2" s="382" t="s">
        <v>491</v>
      </c>
      <c r="BA2" s="382" t="s">
        <v>492</v>
      </c>
      <c r="BB2" s="382" t="s">
        <v>493</v>
      </c>
      <c r="BC2" s="382" t="s">
        <v>494</v>
      </c>
      <c r="BD2" s="382" t="s">
        <v>495</v>
      </c>
      <c r="BE2" s="382" t="s">
        <v>496</v>
      </c>
      <c r="BF2" s="382" t="s">
        <v>497</v>
      </c>
    </row>
    <row r="3" spans="1:58" x14ac:dyDescent="0.2"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O3" s="383" t="s">
        <v>924</v>
      </c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</row>
    <row r="4" spans="1:58" x14ac:dyDescent="0.2">
      <c r="A4" s="85" t="s">
        <v>920</v>
      </c>
      <c r="C4" s="369">
        <v>3225.1</v>
      </c>
      <c r="D4" s="369">
        <v>3276.4</v>
      </c>
      <c r="E4" s="369">
        <v>3316.1</v>
      </c>
      <c r="F4" s="369">
        <v>3355.1</v>
      </c>
      <c r="G4" s="369">
        <v>3403.9</v>
      </c>
      <c r="H4" s="369">
        <v>3447.9</v>
      </c>
      <c r="I4" s="369">
        <v>3478.6</v>
      </c>
      <c r="J4" s="370">
        <f>1000*Data!I$231</f>
        <v>3507.6</v>
      </c>
      <c r="K4" s="370">
        <f>1000*Data!J$231</f>
        <v>3544.4</v>
      </c>
      <c r="L4" s="370">
        <f>1000*Data!K$231</f>
        <v>3584.7000000000003</v>
      </c>
      <c r="M4" s="370">
        <f>1000*Data!L$231</f>
        <v>3624.5</v>
      </c>
      <c r="N4" s="370">
        <f>1000*Data!M$231</f>
        <v>3662.3</v>
      </c>
      <c r="O4" s="371">
        <f>N$4*SUM(Popn!O$24:O$99,Popn!O$118:O$193)/SUM(Popn!N$24:N$99,Popn!N$118:N$193)</f>
        <v>3698.9462846366191</v>
      </c>
      <c r="P4" s="371">
        <f>O$4*SUM(Popn!P$24:P$99,Popn!P$118:P$193)/SUM(Popn!O$24:O$99,Popn!O$118:O$193)</f>
        <v>3736.8108371807289</v>
      </c>
      <c r="Q4" s="371">
        <f>P$4*SUM(Popn!Q$24:Q$99,Popn!Q$118:Q$193)/SUM(Popn!P$24:P$99,Popn!P$118:P$193)</f>
        <v>3773.8108125001681</v>
      </c>
      <c r="R4" s="371">
        <f>Q$4*SUM(Popn!R$24:R$99,Popn!R$118:R$193)/SUM(Popn!Q$24:Q$99,Popn!Q$118:Q$193)</f>
        <v>3811.6065918559516</v>
      </c>
      <c r="S4" s="371">
        <f>R$4*SUM(Popn!S$24:S$99,Popn!S$118:S$193)/SUM(Popn!R$24:R$99,Popn!R$118:R$193)</f>
        <v>3851.4655668615183</v>
      </c>
      <c r="T4" s="371">
        <f>S$4*SUM(Popn!T$24:T$99,Popn!T$118:T$193)/SUM(Popn!S$24:S$99,Popn!S$118:S$193)</f>
        <v>3892.8866757162064</v>
      </c>
      <c r="U4" s="371">
        <f>T$4*SUM(Popn!U$24:U$99,Popn!U$118:U$193)/SUM(Popn!T$24:T$99,Popn!T$118:T$193)</f>
        <v>3932.7947744277199</v>
      </c>
      <c r="V4" s="371">
        <f>U$4*SUM(Popn!V$24:V$99,Popn!V$118:V$193)/SUM(Popn!U$24:U$99,Popn!U$118:U$193)</f>
        <v>3972.6242752097182</v>
      </c>
      <c r="W4" s="371">
        <f>V$4*SUM(Popn!W$24:W$99,Popn!W$118:W$193)/SUM(Popn!V$24:V$99,Popn!V$118:V$193)</f>
        <v>4010.7049720599957</v>
      </c>
      <c r="X4" s="371">
        <f>W$4*SUM(Popn!X$24:X$99,Popn!X$118:X$193)/SUM(Popn!W$24:W$99,Popn!W$118:W$193)</f>
        <v>4046.6242258485959</v>
      </c>
      <c r="Y4" s="371">
        <f>X$4*SUM(Popn!Y$24:Y$99,Popn!Y$118:Y$193)/SUM(Popn!X$24:X$99,Popn!X$118:X$193)</f>
        <v>4081.9539951658294</v>
      </c>
      <c r="Z4" s="371">
        <f>Y$4*SUM(Popn!Z$24:Z$99,Popn!Z$118:Z$193)/SUM(Popn!Y$24:Y$99,Popn!Y$118:Y$193)</f>
        <v>4116.7532284588333</v>
      </c>
      <c r="AA4" s="371">
        <f>Z$4*SUM(Popn!AA$24:AA$99,Popn!AA$118:AA$193)/SUM(Popn!Z$24:Z$99,Popn!Z$118:Z$193)</f>
        <v>4151.1987710690173</v>
      </c>
      <c r="AB4" s="371">
        <f>AA$4*SUM(Popn!AB$24:AB$99,Popn!AB$118:AB$193)/SUM(Popn!AA$24:AA$99,Popn!AA$118:AA$193)</f>
        <v>4185.123602396161</v>
      </c>
      <c r="AC4" s="371">
        <f>AB$4*SUM(Popn!AC$24:AC$99,Popn!AC$118:AC$193)/SUM(Popn!AB$24:AB$99,Popn!AB$118:AB$193)</f>
        <v>4218.6750935581058</v>
      </c>
      <c r="AD4" s="371">
        <f>AC$4*SUM(Popn!AD$24:AD$99,Popn!AD$118:AD$193)/SUM(Popn!AC$24:AC$99,Popn!AC$118:AC$193)</f>
        <v>4251.8041208489049</v>
      </c>
      <c r="AE4" s="371">
        <f>AD$4*SUM(Popn!AE$24:AE$99,Popn!AE$118:AE$193)/SUM(Popn!AD$24:AD$99,Popn!AD$118:AD$193)</f>
        <v>4284.5892821980733</v>
      </c>
      <c r="AF4" s="371">
        <f>AE$4*SUM(Popn!AF$24:AF$99,Popn!AF$118:AF$193)/SUM(Popn!AE$24:AE$99,Popn!AE$118:AE$193)</f>
        <v>4316.7653095934957</v>
      </c>
      <c r="AG4" s="371">
        <f>AF$4*SUM(Popn!AG$24:AG$99,Popn!AG$118:AG$193)/SUM(Popn!AF$24:AF$99,Popn!AF$118:AF$193)</f>
        <v>4348.3715019999308</v>
      </c>
      <c r="AH4" s="371">
        <f>AG$4*SUM(Popn!AH$24:AH$99,Popn!AH$118:AH$193)/SUM(Popn!AG$24:AG$99,Popn!AG$118:AG$193)</f>
        <v>4379.4569831233257</v>
      </c>
      <c r="AI4" s="371">
        <f>AH$4*SUM(Popn!AI$24:AI$99,Popn!AI$118:AI$193)/SUM(Popn!AH$24:AH$99,Popn!AH$118:AH$193)</f>
        <v>4409.8645571046491</v>
      </c>
      <c r="AJ4" s="371">
        <f>AI$4*SUM(Popn!AJ$24:AJ$99,Popn!AJ$118:AJ$193)/SUM(Popn!AI$24:AI$99,Popn!AI$118:AI$193)</f>
        <v>4439.5352754967644</v>
      </c>
      <c r="AK4" s="371">
        <f>AJ$4*SUM(Popn!AK$24:AK$99,Popn!AK$118:AK$193)/SUM(Popn!AJ$24:AJ$99,Popn!AJ$118:AJ$193)</f>
        <v>4468.4396640761033</v>
      </c>
      <c r="AL4" s="371">
        <f>AK$4*SUM(Popn!AL$24:AL$99,Popn!AL$118:AL$193)/SUM(Popn!AK$24:AK$99,Popn!AK$118:AK$193)</f>
        <v>4496.6268465486128</v>
      </c>
      <c r="AM4" s="371">
        <f>AL$4*SUM(Popn!AM$24:AM$99,Popn!AM$118:AM$193)/SUM(Popn!AL$24:AL$99,Popn!AL$118:AL$193)</f>
        <v>4523.9592765376401</v>
      </c>
      <c r="AN4" s="371">
        <f>AM$4*SUM(Popn!AN$24:AN$99,Popn!AN$118:AN$193)/SUM(Popn!AM$24:AM$99,Popn!AM$118:AM$193)</f>
        <v>4550.5352014550817</v>
      </c>
      <c r="AO4" s="371">
        <f>AN$4*SUM(Popn!AO$24:AO$99,Popn!AO$118:AO$193)/SUM(Popn!AN$24:AN$99,Popn!AN$118:AN$193)</f>
        <v>4576.1483017359569</v>
      </c>
      <c r="AP4" s="371">
        <f>AO$4*SUM(Popn!AP$24:AP$99,Popn!AP$118:AP$193)/SUM(Popn!AO$24:AO$99,Popn!AO$118:AO$193)</f>
        <v>4601.0343711688138</v>
      </c>
      <c r="AQ4" s="371">
        <f>AP$4*SUM(Popn!AQ$24:AQ$99,Popn!AQ$118:AQ$193)/SUM(Popn!AP$24:AP$99,Popn!AP$118:AP$193)</f>
        <v>4624.9772654474846</v>
      </c>
      <c r="AR4" s="371">
        <f>AQ$4*SUM(Popn!AR$24:AR$99,Popn!AR$118:AR$193)/SUM(Popn!AQ$24:AQ$99,Popn!AQ$118:AQ$193)</f>
        <v>4648.2029536193259</v>
      </c>
      <c r="AS4" s="371">
        <f>AR$4*SUM(Popn!AS$24:AS$99,Popn!AS$118:AS$193)/SUM(Popn!AR$24:AR$99,Popn!AR$118:AR$193)</f>
        <v>4670.5640645664962</v>
      </c>
      <c r="AT4" s="371">
        <f>AS$4*SUM(Popn!AT$24:AT$99,Popn!AT$118:AT$193)/SUM(Popn!AS$24:AS$99,Popn!AS$118:AS$193)</f>
        <v>4692.3848147482468</v>
      </c>
      <c r="AU4" s="371">
        <f>AT$4*SUM(Popn!AU$24:AU$99,Popn!AU$118:AU$193)/SUM(Popn!AT$24:AT$99,Popn!AT$118:AT$193)</f>
        <v>4713.645554682199</v>
      </c>
      <c r="AV4" s="371">
        <f>AU$4*SUM(Popn!AV$24:AV$99,Popn!AV$118:AV$193)/SUM(Popn!AU$24:AU$99,Popn!AU$118:AU$193)</f>
        <v>4734.542779192142</v>
      </c>
      <c r="AW4" s="371">
        <f>AV$4*SUM(Popn!AW$24:AW$99,Popn!AW$118:AW$193)/SUM(Popn!AV$24:AV$99,Popn!AV$118:AV$193)</f>
        <v>4755.1550862075919</v>
      </c>
      <c r="AX4" s="371">
        <f>AW$4*SUM(Popn!AX$24:AX$99,Popn!AX$118:AX$193)/SUM(Popn!AW$24:AW$99,Popn!AW$118:AW$193)</f>
        <v>4775.4923004697366</v>
      </c>
      <c r="AY4" s="371">
        <f>AX$4*SUM(Popn!AY$24:AY$99,Popn!AY$118:AY$193)/SUM(Popn!AX$24:AX$99,Popn!AX$118:AX$193)</f>
        <v>4795.7509168023662</v>
      </c>
      <c r="AZ4" s="371">
        <f>AY$4*SUM(Popn!AZ$24:AZ$99,Popn!AZ$118:AZ$193)/SUM(Popn!AY$24:AY$99,Popn!AY$118:AY$193)</f>
        <v>4816.0783063233221</v>
      </c>
      <c r="BA4" s="371">
        <f>AZ$4*SUM(Popn!BA$24:BA$99,Popn!BA$118:BA$193)/SUM(Popn!AZ$24:AZ$99,Popn!AZ$118:AZ$193)</f>
        <v>4836.4056958442779</v>
      </c>
      <c r="BB4" s="371">
        <f>BA$4*SUM(Popn!BB$24:BB$99,Popn!BB$118:BB$193)/SUM(Popn!BA$24:BA$99,Popn!BA$118:BA$193)</f>
        <v>4856.8116832947489</v>
      </c>
      <c r="BC4" s="371">
        <f>BB$4*SUM(Popn!BC$24:BC$99,Popn!BC$118:BC$193)/SUM(Popn!BB$24:BB$99,Popn!BB$118:BB$193)</f>
        <v>4877.4043408278194</v>
      </c>
      <c r="BD4" s="371">
        <f>BC$4*SUM(Popn!BD$24:BD$99,Popn!BD$118:BD$193)/SUM(Popn!BC$24:BC$99,Popn!BC$118:BC$193)</f>
        <v>4898.1148952551639</v>
      </c>
      <c r="BE4" s="371">
        <f>BD$4*SUM(Popn!BE$24:BE$99,Popn!BE$118:BE$193)/SUM(Popn!BD$24:BD$99,Popn!BD$118:BD$193)</f>
        <v>4919.1005424358127</v>
      </c>
      <c r="BF4" s="371">
        <f>BE$4*SUM(Popn!BF$24:BF$99,Popn!BF$118:BF$193)/SUM(Popn!BE$24:BE$99,Popn!BE$118:BE$193)</f>
        <v>4940.2237359931132</v>
      </c>
    </row>
    <row r="5" spans="1:58" x14ac:dyDescent="0.2">
      <c r="A5" s="85" t="s">
        <v>921</v>
      </c>
      <c r="C5" s="369">
        <v>2200.3000000000002</v>
      </c>
      <c r="D5" s="369">
        <v>2238.5</v>
      </c>
      <c r="E5" s="369">
        <v>2261.8000000000002</v>
      </c>
      <c r="F5" s="369">
        <v>2302</v>
      </c>
      <c r="G5" s="369">
        <v>2317</v>
      </c>
      <c r="H5" s="369">
        <v>2355</v>
      </c>
      <c r="I5" s="369">
        <v>2381</v>
      </c>
      <c r="J5" s="370">
        <f>1000*Data!I$230</f>
        <v>2373.3000000000002</v>
      </c>
      <c r="K5" s="370">
        <f>1000*Data!J$230</f>
        <v>2410.8000000000002</v>
      </c>
      <c r="L5" s="370">
        <f>1000*Data!K$230</f>
        <v>2457</v>
      </c>
      <c r="M5" s="370">
        <f>1000*Data!L$230</f>
        <v>2481.7999999999997</v>
      </c>
      <c r="N5" s="370">
        <f>1000*Data!M$230</f>
        <v>2502.2000000000003</v>
      </c>
      <c r="O5" s="371">
        <f t="shared" ref="O5:BF5" si="0">N$5*O$147/N$147</f>
        <v>2530.5941603732372</v>
      </c>
      <c r="P5" s="371">
        <f t="shared" si="0"/>
        <v>2557.8072642304337</v>
      </c>
      <c r="Q5" s="371">
        <f t="shared" si="0"/>
        <v>2583.4391188678069</v>
      </c>
      <c r="R5" s="371">
        <f t="shared" si="0"/>
        <v>2608.0656113468981</v>
      </c>
      <c r="S5" s="371">
        <f t="shared" si="0"/>
        <v>2632.2235855386348</v>
      </c>
      <c r="T5" s="371">
        <f t="shared" si="0"/>
        <v>2656.4303637186372</v>
      </c>
      <c r="U5" s="371">
        <f t="shared" si="0"/>
        <v>2679.8660388840349</v>
      </c>
      <c r="V5" s="371">
        <f t="shared" si="0"/>
        <v>2702.862478155037</v>
      </c>
      <c r="W5" s="371">
        <f t="shared" si="0"/>
        <v>2724.6192961240795</v>
      </c>
      <c r="X5" s="371">
        <f t="shared" si="0"/>
        <v>2744.8534296592193</v>
      </c>
      <c r="Y5" s="371">
        <f t="shared" si="0"/>
        <v>2763.9455498689308</v>
      </c>
      <c r="Z5" s="371">
        <f t="shared" si="0"/>
        <v>2782.071351110973</v>
      </c>
      <c r="AA5" s="371">
        <f t="shared" si="0"/>
        <v>2799.2308333853457</v>
      </c>
      <c r="AB5" s="371">
        <f t="shared" si="0"/>
        <v>2815.9022757770572</v>
      </c>
      <c r="AC5" s="371">
        <f t="shared" si="0"/>
        <v>2832.1735254649861</v>
      </c>
      <c r="AD5" s="371">
        <f t="shared" si="0"/>
        <v>2848.0738648420925</v>
      </c>
      <c r="AE5" s="371">
        <f t="shared" si="0"/>
        <v>2863.593533110723</v>
      </c>
      <c r="AF5" s="371">
        <f t="shared" si="0"/>
        <v>2878.7422910685309</v>
      </c>
      <c r="AG5" s="371">
        <f t="shared" si="0"/>
        <v>2893.6177466920485</v>
      </c>
      <c r="AH5" s="371">
        <f t="shared" si="0"/>
        <v>2908.2394215765826</v>
      </c>
      <c r="AI5" s="371">
        <f t="shared" si="0"/>
        <v>2922.9099004493823</v>
      </c>
      <c r="AJ5" s="371">
        <f t="shared" si="0"/>
        <v>2937.6975088940208</v>
      </c>
      <c r="AK5" s="371">
        <f t="shared" si="0"/>
        <v>2952.8853100424417</v>
      </c>
      <c r="AL5" s="371">
        <f t="shared" si="0"/>
        <v>2968.2976095368872</v>
      </c>
      <c r="AM5" s="371">
        <f t="shared" si="0"/>
        <v>2984.0124937585824</v>
      </c>
      <c r="AN5" s="371">
        <f t="shared" si="0"/>
        <v>2999.9811587192617</v>
      </c>
      <c r="AO5" s="371">
        <f t="shared" si="0"/>
        <v>3015.9791060729003</v>
      </c>
      <c r="AP5" s="371">
        <f t="shared" si="0"/>
        <v>3031.8599238546999</v>
      </c>
      <c r="AQ5" s="371">
        <f t="shared" si="0"/>
        <v>3047.2429409561851</v>
      </c>
      <c r="AR5" s="371">
        <f t="shared" si="0"/>
        <v>3062.2940909374611</v>
      </c>
      <c r="AS5" s="371">
        <f t="shared" si="0"/>
        <v>3076.8376794407691</v>
      </c>
      <c r="AT5" s="371">
        <f t="shared" si="0"/>
        <v>3090.6199257271255</v>
      </c>
      <c r="AU5" s="371">
        <f t="shared" si="0"/>
        <v>3103.7774809636753</v>
      </c>
      <c r="AV5" s="371">
        <f t="shared" si="0"/>
        <v>3116.1834547809267</v>
      </c>
      <c r="AW5" s="371">
        <f t="shared" si="0"/>
        <v>3127.7304784046937</v>
      </c>
      <c r="AX5" s="371">
        <f t="shared" si="0"/>
        <v>3138.4966382162029</v>
      </c>
      <c r="AY5" s="371">
        <f t="shared" si="0"/>
        <v>3148.8040405380102</v>
      </c>
      <c r="AZ5" s="371">
        <f t="shared" si="0"/>
        <v>3158.4477086193988</v>
      </c>
      <c r="BA5" s="371">
        <f t="shared" si="0"/>
        <v>3167.4959680439401</v>
      </c>
      <c r="BB5" s="371">
        <f t="shared" si="0"/>
        <v>3175.8804932280618</v>
      </c>
      <c r="BC5" s="371">
        <f t="shared" si="0"/>
        <v>3183.8745865060541</v>
      </c>
      <c r="BD5" s="371">
        <f t="shared" si="0"/>
        <v>3191.6051382474102</v>
      </c>
      <c r="BE5" s="371">
        <f t="shared" si="0"/>
        <v>3199.2478428098866</v>
      </c>
      <c r="BF5" s="371">
        <f t="shared" si="0"/>
        <v>3206.6758098239925</v>
      </c>
    </row>
    <row r="6" spans="1:58" x14ac:dyDescent="0.2">
      <c r="A6" s="85" t="s">
        <v>922</v>
      </c>
      <c r="C6" s="372">
        <f>C$5/C$4</f>
        <v>0.6822424110880283</v>
      </c>
      <c r="D6" s="372">
        <f t="shared" ref="D6:BF6" si="1">D$5/D$4</f>
        <v>0.6832193871322183</v>
      </c>
      <c r="E6" s="372">
        <f t="shared" si="1"/>
        <v>0.68206628268146319</v>
      </c>
      <c r="F6" s="372">
        <f t="shared" si="1"/>
        <v>0.68611963875890436</v>
      </c>
      <c r="G6" s="372">
        <f t="shared" si="1"/>
        <v>0.6806897969975616</v>
      </c>
      <c r="H6" s="372">
        <f t="shared" si="1"/>
        <v>0.68302444966501352</v>
      </c>
      <c r="I6" s="372">
        <f t="shared" si="1"/>
        <v>0.68447076410050023</v>
      </c>
      <c r="J6" s="373">
        <f t="shared" si="1"/>
        <v>0.67661648990762924</v>
      </c>
      <c r="K6" s="373">
        <f t="shared" si="1"/>
        <v>0.68017153820110599</v>
      </c>
      <c r="L6" s="373">
        <f t="shared" si="1"/>
        <v>0.68541300527240767</v>
      </c>
      <c r="M6" s="373">
        <f t="shared" si="1"/>
        <v>0.68472892812801756</v>
      </c>
      <c r="N6" s="373">
        <f t="shared" si="1"/>
        <v>0.6832318488381619</v>
      </c>
      <c r="O6" s="374">
        <f t="shared" si="1"/>
        <v>0.68413920225982416</v>
      </c>
      <c r="P6" s="374">
        <f t="shared" si="1"/>
        <v>0.68448936156484574</v>
      </c>
      <c r="Q6" s="374">
        <f t="shared" si="1"/>
        <v>0.68457038447994323</v>
      </c>
      <c r="R6" s="374">
        <f t="shared" si="1"/>
        <v>0.68424312648619279</v>
      </c>
      <c r="S6" s="374">
        <f t="shared" si="1"/>
        <v>0.68343427711949678</v>
      </c>
      <c r="T6" s="374">
        <f t="shared" si="1"/>
        <v>0.68238060467812411</v>
      </c>
      <c r="U6" s="374">
        <f t="shared" si="1"/>
        <v>0.68141517485462877</v>
      </c>
      <c r="V6" s="374">
        <f t="shared" si="1"/>
        <v>0.68037203896216703</v>
      </c>
      <c r="W6" s="374">
        <f t="shared" si="1"/>
        <v>0.67933675378886038</v>
      </c>
      <c r="X6" s="374">
        <f t="shared" si="1"/>
        <v>0.67830697303839982</v>
      </c>
      <c r="Y6" s="374">
        <f t="shared" si="1"/>
        <v>0.6771133513856874</v>
      </c>
      <c r="Z6" s="374">
        <f t="shared" si="1"/>
        <v>0.67579259594155516</v>
      </c>
      <c r="AA6" s="374">
        <f t="shared" si="1"/>
        <v>0.67431866980064825</v>
      </c>
      <c r="AB6" s="374">
        <f t="shared" si="1"/>
        <v>0.67283610791443138</v>
      </c>
      <c r="AC6" s="374">
        <f t="shared" si="1"/>
        <v>0.67134194093062538</v>
      </c>
      <c r="AD6" s="374">
        <f t="shared" si="1"/>
        <v>0.66985067606394177</v>
      </c>
      <c r="AE6" s="374">
        <f t="shared" si="1"/>
        <v>0.66834726609819806</v>
      </c>
      <c r="AF6" s="374">
        <f t="shared" si="1"/>
        <v>0.66687486685247166</v>
      </c>
      <c r="AG6" s="374">
        <f t="shared" si="1"/>
        <v>0.66544860423291741</v>
      </c>
      <c r="AH6" s="374">
        <f t="shared" si="1"/>
        <v>0.66406393139235598</v>
      </c>
      <c r="AI6" s="374">
        <f t="shared" si="1"/>
        <v>0.6628117173667698</v>
      </c>
      <c r="AJ6" s="374">
        <f t="shared" si="1"/>
        <v>0.66171284303294686</v>
      </c>
      <c r="AK6" s="374">
        <f t="shared" si="1"/>
        <v>0.66083141589268424</v>
      </c>
      <c r="AL6" s="374">
        <f t="shared" si="1"/>
        <v>0.6601165075138945</v>
      </c>
      <c r="AM6" s="374">
        <f t="shared" si="1"/>
        <v>0.65960197945069965</v>
      </c>
      <c r="AN6" s="374">
        <f t="shared" si="1"/>
        <v>0.65925897194685712</v>
      </c>
      <c r="AO6" s="374">
        <f t="shared" si="1"/>
        <v>0.65906498373944566</v>
      </c>
      <c r="AP6" s="374">
        <f t="shared" si="1"/>
        <v>0.6589518093698804</v>
      </c>
      <c r="AQ6" s="374">
        <f t="shared" si="1"/>
        <v>0.65886657729578102</v>
      </c>
      <c r="AR6" s="374">
        <f t="shared" si="1"/>
        <v>0.65881247473348903</v>
      </c>
      <c r="AS6" s="374">
        <f t="shared" si="1"/>
        <v>0.65877218188342079</v>
      </c>
      <c r="AT6" s="374">
        <f t="shared" si="1"/>
        <v>0.65864588002528124</v>
      </c>
      <c r="AU6" s="374">
        <f t="shared" si="1"/>
        <v>0.65846645551882965</v>
      </c>
      <c r="AV6" s="374">
        <f t="shared" si="1"/>
        <v>0.6581804410926968</v>
      </c>
      <c r="AW6" s="374">
        <f t="shared" si="1"/>
        <v>0.65775572440880614</v>
      </c>
      <c r="AX6" s="374">
        <f t="shared" si="1"/>
        <v>0.65720902490147204</v>
      </c>
      <c r="AY6" s="374">
        <f t="shared" si="1"/>
        <v>0.65658206507470562</v>
      </c>
      <c r="AZ6" s="374">
        <f t="shared" si="1"/>
        <v>0.65581319649069669</v>
      </c>
      <c r="BA6" s="374">
        <f t="shared" si="1"/>
        <v>0.65492768126661449</v>
      </c>
      <c r="BB6" s="374">
        <f t="shared" si="1"/>
        <v>0.65390233353120619</v>
      </c>
      <c r="BC6" s="374">
        <f t="shared" si="1"/>
        <v>0.65278052915450302</v>
      </c>
      <c r="BD6" s="374">
        <f t="shared" si="1"/>
        <v>0.65159866734427552</v>
      </c>
      <c r="BE6" s="374">
        <f t="shared" si="1"/>
        <v>0.65037252546696289</v>
      </c>
      <c r="BF6" s="374">
        <f t="shared" si="1"/>
        <v>0.64909525988894656</v>
      </c>
    </row>
    <row r="7" spans="1:58" x14ac:dyDescent="0.2">
      <c r="A7" s="85"/>
    </row>
    <row r="8" spans="1:58" ht="18.75" x14ac:dyDescent="0.3">
      <c r="A8" s="337" t="s">
        <v>944</v>
      </c>
      <c r="B8" s="338"/>
      <c r="C8" s="339"/>
      <c r="D8" s="338"/>
      <c r="E8" s="338"/>
      <c r="F8" s="339"/>
      <c r="G8" s="339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58" x14ac:dyDescent="0.2">
      <c r="A9" s="376" t="s">
        <v>436</v>
      </c>
      <c r="B9" s="238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</row>
    <row r="10" spans="1:58" x14ac:dyDescent="0.2">
      <c r="A10" s="378" t="s">
        <v>20</v>
      </c>
      <c r="B10" s="238"/>
      <c r="C10" s="379">
        <v>11240</v>
      </c>
      <c r="D10" s="379">
        <v>11020</v>
      </c>
      <c r="E10" s="379">
        <v>10890</v>
      </c>
      <c r="F10" s="379">
        <v>8520</v>
      </c>
      <c r="G10" s="379">
        <v>7210</v>
      </c>
      <c r="H10" s="379">
        <v>6590</v>
      </c>
      <c r="I10" s="379">
        <v>6320</v>
      </c>
      <c r="J10" s="379">
        <v>6380</v>
      </c>
      <c r="K10" s="379">
        <v>6390</v>
      </c>
      <c r="L10" s="379">
        <v>6710</v>
      </c>
      <c r="M10" s="379">
        <v>6820</v>
      </c>
      <c r="N10" s="379">
        <v>6710</v>
      </c>
      <c r="O10" s="379">
        <v>6960</v>
      </c>
      <c r="P10" s="379">
        <v>7250</v>
      </c>
      <c r="Q10" s="379">
        <v>7260</v>
      </c>
      <c r="R10" s="379">
        <v>7420</v>
      </c>
      <c r="S10" s="379">
        <v>7750</v>
      </c>
      <c r="T10" s="379">
        <v>8050</v>
      </c>
      <c r="U10" s="379">
        <v>7970</v>
      </c>
      <c r="V10" s="379">
        <v>7930</v>
      </c>
      <c r="W10" s="379">
        <v>7790</v>
      </c>
      <c r="X10" s="379">
        <v>7600</v>
      </c>
      <c r="Y10" s="379">
        <v>7600</v>
      </c>
      <c r="Z10" s="379">
        <v>7620</v>
      </c>
      <c r="AA10" s="379">
        <v>7660</v>
      </c>
      <c r="AB10" s="379">
        <v>7700</v>
      </c>
      <c r="AC10" s="379">
        <v>7750</v>
      </c>
      <c r="AD10" s="379">
        <v>7800</v>
      </c>
      <c r="AE10" s="379">
        <v>7850</v>
      </c>
      <c r="AF10" s="379">
        <v>7890</v>
      </c>
      <c r="AG10" s="379">
        <v>7930</v>
      </c>
      <c r="AH10" s="379">
        <v>7960</v>
      </c>
      <c r="AI10" s="379">
        <v>7980</v>
      </c>
      <c r="AJ10" s="379">
        <v>8000</v>
      </c>
      <c r="AK10" s="379">
        <v>8000</v>
      </c>
      <c r="AL10" s="379">
        <v>8000</v>
      </c>
      <c r="AM10" s="379">
        <v>8000</v>
      </c>
      <c r="AN10" s="379">
        <v>7980</v>
      </c>
      <c r="AO10" s="379">
        <v>7970</v>
      </c>
      <c r="AP10" s="379">
        <v>7950</v>
      </c>
      <c r="AQ10" s="379">
        <v>7920</v>
      </c>
      <c r="AR10" s="379">
        <v>7900</v>
      </c>
      <c r="AS10" s="379">
        <v>7890</v>
      </c>
      <c r="AT10" s="379">
        <v>7880</v>
      </c>
      <c r="AU10" s="379">
        <v>7880</v>
      </c>
      <c r="AV10" s="379">
        <v>7890</v>
      </c>
      <c r="AW10" s="379">
        <v>7900</v>
      </c>
      <c r="AX10" s="379">
        <v>7920</v>
      </c>
      <c r="AY10" s="379">
        <v>7950</v>
      </c>
      <c r="AZ10" s="379">
        <v>7970</v>
      </c>
      <c r="BA10" s="379">
        <v>8000</v>
      </c>
      <c r="BB10" s="379">
        <v>8020</v>
      </c>
      <c r="BC10" s="379">
        <v>8050</v>
      </c>
      <c r="BD10" s="379">
        <v>8070</v>
      </c>
      <c r="BE10" s="379">
        <v>8080</v>
      </c>
      <c r="BF10" s="379">
        <v>8100</v>
      </c>
    </row>
    <row r="11" spans="1:58" x14ac:dyDescent="0.2">
      <c r="A11" s="378" t="s">
        <v>21</v>
      </c>
      <c r="B11" s="238"/>
      <c r="C11" s="379">
        <v>15520</v>
      </c>
      <c r="D11" s="379">
        <v>16060</v>
      </c>
      <c r="E11" s="379">
        <v>15720</v>
      </c>
      <c r="F11" s="379">
        <v>12820</v>
      </c>
      <c r="G11" s="379">
        <v>10930</v>
      </c>
      <c r="H11" s="379">
        <v>10260</v>
      </c>
      <c r="I11" s="379">
        <v>10100</v>
      </c>
      <c r="J11" s="379">
        <v>9790</v>
      </c>
      <c r="K11" s="379">
        <v>10020</v>
      </c>
      <c r="L11" s="379">
        <v>10190</v>
      </c>
      <c r="M11" s="379">
        <v>10950</v>
      </c>
      <c r="N11" s="379">
        <v>11150</v>
      </c>
      <c r="O11" s="379">
        <v>10960</v>
      </c>
      <c r="P11" s="379">
        <v>11350</v>
      </c>
      <c r="Q11" s="379">
        <v>11760</v>
      </c>
      <c r="R11" s="379">
        <v>11730</v>
      </c>
      <c r="S11" s="379">
        <v>11940</v>
      </c>
      <c r="T11" s="379">
        <v>12460</v>
      </c>
      <c r="U11" s="379">
        <v>12940</v>
      </c>
      <c r="V11" s="379">
        <v>12810</v>
      </c>
      <c r="W11" s="379">
        <v>12750</v>
      </c>
      <c r="X11" s="379">
        <v>12530</v>
      </c>
      <c r="Y11" s="379">
        <v>12220</v>
      </c>
      <c r="Z11" s="379">
        <v>12230</v>
      </c>
      <c r="AA11" s="379">
        <v>12260</v>
      </c>
      <c r="AB11" s="379">
        <v>12320</v>
      </c>
      <c r="AC11" s="379">
        <v>12390</v>
      </c>
      <c r="AD11" s="379">
        <v>12470</v>
      </c>
      <c r="AE11" s="379">
        <v>12550</v>
      </c>
      <c r="AF11" s="379">
        <v>12620</v>
      </c>
      <c r="AG11" s="379">
        <v>12690</v>
      </c>
      <c r="AH11" s="379">
        <v>12750</v>
      </c>
      <c r="AI11" s="379">
        <v>12800</v>
      </c>
      <c r="AJ11" s="379">
        <v>12830</v>
      </c>
      <c r="AK11" s="379">
        <v>12860</v>
      </c>
      <c r="AL11" s="379">
        <v>12870</v>
      </c>
      <c r="AM11" s="379">
        <v>12870</v>
      </c>
      <c r="AN11" s="379">
        <v>12860</v>
      </c>
      <c r="AO11" s="379">
        <v>12840</v>
      </c>
      <c r="AP11" s="379">
        <v>12810</v>
      </c>
      <c r="AQ11" s="379">
        <v>12780</v>
      </c>
      <c r="AR11" s="379">
        <v>12740</v>
      </c>
      <c r="AS11" s="379">
        <v>12710</v>
      </c>
      <c r="AT11" s="379">
        <v>12680</v>
      </c>
      <c r="AU11" s="379">
        <v>12670</v>
      </c>
      <c r="AV11" s="379">
        <v>12670</v>
      </c>
      <c r="AW11" s="379">
        <v>12680</v>
      </c>
      <c r="AX11" s="379">
        <v>12700</v>
      </c>
      <c r="AY11" s="379">
        <v>12740</v>
      </c>
      <c r="AZ11" s="379">
        <v>12780</v>
      </c>
      <c r="BA11" s="379">
        <v>12820</v>
      </c>
      <c r="BB11" s="379">
        <v>12860</v>
      </c>
      <c r="BC11" s="379">
        <v>12900</v>
      </c>
      <c r="BD11" s="379">
        <v>12940</v>
      </c>
      <c r="BE11" s="379">
        <v>12970</v>
      </c>
      <c r="BF11" s="379">
        <v>13000</v>
      </c>
    </row>
    <row r="12" spans="1:58" x14ac:dyDescent="0.2">
      <c r="A12" s="378" t="s">
        <v>22</v>
      </c>
      <c r="B12" s="238"/>
      <c r="C12" s="379">
        <v>18690</v>
      </c>
      <c r="D12" s="379">
        <v>19260</v>
      </c>
      <c r="E12" s="379">
        <v>19960</v>
      </c>
      <c r="F12" s="379">
        <v>17420</v>
      </c>
      <c r="G12" s="379">
        <v>16040</v>
      </c>
      <c r="H12" s="379">
        <v>15200</v>
      </c>
      <c r="I12" s="379">
        <v>15150</v>
      </c>
      <c r="J12" s="379">
        <v>14950</v>
      </c>
      <c r="K12" s="379">
        <v>14470</v>
      </c>
      <c r="L12" s="379">
        <v>14700</v>
      </c>
      <c r="M12" s="379">
        <v>14820</v>
      </c>
      <c r="N12" s="379">
        <v>15440</v>
      </c>
      <c r="O12" s="379">
        <v>15340</v>
      </c>
      <c r="P12" s="379">
        <v>14780</v>
      </c>
      <c r="Q12" s="379">
        <v>15090</v>
      </c>
      <c r="R12" s="379">
        <v>15470</v>
      </c>
      <c r="S12" s="379">
        <v>15360</v>
      </c>
      <c r="T12" s="379">
        <v>15630</v>
      </c>
      <c r="U12" s="379">
        <v>16320</v>
      </c>
      <c r="V12" s="379">
        <v>16930</v>
      </c>
      <c r="W12" s="379">
        <v>16770</v>
      </c>
      <c r="X12" s="379">
        <v>16690</v>
      </c>
      <c r="Y12" s="379">
        <v>16400</v>
      </c>
      <c r="Z12" s="379">
        <v>16000</v>
      </c>
      <c r="AA12" s="379">
        <v>16010</v>
      </c>
      <c r="AB12" s="379">
        <v>16050</v>
      </c>
      <c r="AC12" s="379">
        <v>16130</v>
      </c>
      <c r="AD12" s="379">
        <v>16220</v>
      </c>
      <c r="AE12" s="379">
        <v>16320</v>
      </c>
      <c r="AF12" s="379">
        <v>16430</v>
      </c>
      <c r="AG12" s="379">
        <v>16520</v>
      </c>
      <c r="AH12" s="379">
        <v>16620</v>
      </c>
      <c r="AI12" s="379">
        <v>16690</v>
      </c>
      <c r="AJ12" s="379">
        <v>16750</v>
      </c>
      <c r="AK12" s="379">
        <v>16800</v>
      </c>
      <c r="AL12" s="379">
        <v>16830</v>
      </c>
      <c r="AM12" s="379">
        <v>16850</v>
      </c>
      <c r="AN12" s="379">
        <v>16850</v>
      </c>
      <c r="AO12" s="379">
        <v>16830</v>
      </c>
      <c r="AP12" s="379">
        <v>16810</v>
      </c>
      <c r="AQ12" s="379">
        <v>16770</v>
      </c>
      <c r="AR12" s="379">
        <v>16730</v>
      </c>
      <c r="AS12" s="379">
        <v>16680</v>
      </c>
      <c r="AT12" s="379">
        <v>16640</v>
      </c>
      <c r="AU12" s="379">
        <v>16610</v>
      </c>
      <c r="AV12" s="379">
        <v>16590</v>
      </c>
      <c r="AW12" s="379">
        <v>16580</v>
      </c>
      <c r="AX12" s="379">
        <v>16600</v>
      </c>
      <c r="AY12" s="379">
        <v>16630</v>
      </c>
      <c r="AZ12" s="379">
        <v>16680</v>
      </c>
      <c r="BA12" s="379">
        <v>16730</v>
      </c>
      <c r="BB12" s="379">
        <v>16780</v>
      </c>
      <c r="BC12" s="379">
        <v>16840</v>
      </c>
      <c r="BD12" s="379">
        <v>16890</v>
      </c>
      <c r="BE12" s="379">
        <v>16940</v>
      </c>
      <c r="BF12" s="379">
        <v>16980</v>
      </c>
    </row>
    <row r="13" spans="1:58" x14ac:dyDescent="0.2">
      <c r="A13" s="378" t="s">
        <v>23</v>
      </c>
      <c r="B13" s="238"/>
      <c r="C13" s="379">
        <v>21800</v>
      </c>
      <c r="D13" s="379">
        <v>22350</v>
      </c>
      <c r="E13" s="379">
        <v>23040</v>
      </c>
      <c r="F13" s="379">
        <v>21710</v>
      </c>
      <c r="G13" s="379">
        <v>19990</v>
      </c>
      <c r="H13" s="379">
        <v>19310</v>
      </c>
      <c r="I13" s="379">
        <v>18950</v>
      </c>
      <c r="J13" s="379">
        <v>18990</v>
      </c>
      <c r="K13" s="379">
        <v>18850</v>
      </c>
      <c r="L13" s="379">
        <v>18350</v>
      </c>
      <c r="M13" s="379">
        <v>18790</v>
      </c>
      <c r="N13" s="379">
        <v>18850</v>
      </c>
      <c r="O13" s="379">
        <v>19560</v>
      </c>
      <c r="P13" s="379">
        <v>19350</v>
      </c>
      <c r="Q13" s="379">
        <v>18590</v>
      </c>
      <c r="R13" s="379">
        <v>18900</v>
      </c>
      <c r="S13" s="379">
        <v>19330</v>
      </c>
      <c r="T13" s="379">
        <v>19200</v>
      </c>
      <c r="U13" s="379">
        <v>19530</v>
      </c>
      <c r="V13" s="379">
        <v>20380</v>
      </c>
      <c r="W13" s="379">
        <v>21130</v>
      </c>
      <c r="X13" s="379">
        <v>20930</v>
      </c>
      <c r="Y13" s="379">
        <v>20840</v>
      </c>
      <c r="Z13" s="379">
        <v>20480</v>
      </c>
      <c r="AA13" s="379">
        <v>19980</v>
      </c>
      <c r="AB13" s="379">
        <v>19990</v>
      </c>
      <c r="AC13" s="379">
        <v>20050</v>
      </c>
      <c r="AD13" s="379">
        <v>20140</v>
      </c>
      <c r="AE13" s="379">
        <v>20260</v>
      </c>
      <c r="AF13" s="379">
        <v>20380</v>
      </c>
      <c r="AG13" s="379">
        <v>20510</v>
      </c>
      <c r="AH13" s="379">
        <v>20630</v>
      </c>
      <c r="AI13" s="379">
        <v>20740</v>
      </c>
      <c r="AJ13" s="379">
        <v>20840</v>
      </c>
      <c r="AK13" s="379">
        <v>20910</v>
      </c>
      <c r="AL13" s="379">
        <v>20970</v>
      </c>
      <c r="AM13" s="379">
        <v>21010</v>
      </c>
      <c r="AN13" s="379">
        <v>21030</v>
      </c>
      <c r="AO13" s="379">
        <v>21030</v>
      </c>
      <c r="AP13" s="379">
        <v>21010</v>
      </c>
      <c r="AQ13" s="379">
        <v>20980</v>
      </c>
      <c r="AR13" s="379">
        <v>20930</v>
      </c>
      <c r="AS13" s="379">
        <v>20880</v>
      </c>
      <c r="AT13" s="379">
        <v>20820</v>
      </c>
      <c r="AU13" s="379">
        <v>20770</v>
      </c>
      <c r="AV13" s="379">
        <v>20730</v>
      </c>
      <c r="AW13" s="379">
        <v>20710</v>
      </c>
      <c r="AX13" s="379">
        <v>20710</v>
      </c>
      <c r="AY13" s="379">
        <v>20730</v>
      </c>
      <c r="AZ13" s="379">
        <v>20770</v>
      </c>
      <c r="BA13" s="379">
        <v>20820</v>
      </c>
      <c r="BB13" s="379">
        <v>20890</v>
      </c>
      <c r="BC13" s="379">
        <v>20950</v>
      </c>
      <c r="BD13" s="379">
        <v>21020</v>
      </c>
      <c r="BE13" s="379">
        <v>21080</v>
      </c>
      <c r="BF13" s="379">
        <v>21140</v>
      </c>
    </row>
    <row r="14" spans="1:58" x14ac:dyDescent="0.2">
      <c r="A14" s="378" t="s">
        <v>24</v>
      </c>
      <c r="B14" s="238"/>
      <c r="C14" s="379">
        <v>22230</v>
      </c>
      <c r="D14" s="379">
        <v>22920</v>
      </c>
      <c r="E14" s="379">
        <v>23480</v>
      </c>
      <c r="F14" s="379">
        <v>24200</v>
      </c>
      <c r="G14" s="379">
        <v>25150</v>
      </c>
      <c r="H14" s="379">
        <v>24600</v>
      </c>
      <c r="I14" s="379">
        <v>24240</v>
      </c>
      <c r="J14" s="379">
        <v>23710</v>
      </c>
      <c r="K14" s="379">
        <v>23620</v>
      </c>
      <c r="L14" s="379">
        <v>23220</v>
      </c>
      <c r="M14" s="379">
        <v>22270</v>
      </c>
      <c r="N14" s="379">
        <v>22250</v>
      </c>
      <c r="O14" s="379">
        <v>21890</v>
      </c>
      <c r="P14" s="379">
        <v>22330</v>
      </c>
      <c r="Q14" s="379">
        <v>21840</v>
      </c>
      <c r="R14" s="379">
        <v>20830</v>
      </c>
      <c r="S14" s="379">
        <v>21080</v>
      </c>
      <c r="T14" s="379">
        <v>21500</v>
      </c>
      <c r="U14" s="379">
        <v>21310</v>
      </c>
      <c r="V14" s="379">
        <v>21630</v>
      </c>
      <c r="W14" s="379">
        <v>22500</v>
      </c>
      <c r="X14" s="379">
        <v>23280</v>
      </c>
      <c r="Y14" s="379">
        <v>23040</v>
      </c>
      <c r="Z14" s="379">
        <v>22910</v>
      </c>
      <c r="AA14" s="379">
        <v>22500</v>
      </c>
      <c r="AB14" s="379">
        <v>21950</v>
      </c>
      <c r="AC14" s="379">
        <v>21940</v>
      </c>
      <c r="AD14" s="379">
        <v>21990</v>
      </c>
      <c r="AE14" s="379">
        <v>22080</v>
      </c>
      <c r="AF14" s="379">
        <v>22200</v>
      </c>
      <c r="AG14" s="379">
        <v>22330</v>
      </c>
      <c r="AH14" s="379">
        <v>22460</v>
      </c>
      <c r="AI14" s="379">
        <v>22600</v>
      </c>
      <c r="AJ14" s="379">
        <v>22710</v>
      </c>
      <c r="AK14" s="379">
        <v>22820</v>
      </c>
      <c r="AL14" s="379">
        <v>22900</v>
      </c>
      <c r="AM14" s="379">
        <v>22960</v>
      </c>
      <c r="AN14" s="379">
        <v>23000</v>
      </c>
      <c r="AO14" s="379">
        <v>23020</v>
      </c>
      <c r="AP14" s="379">
        <v>23020</v>
      </c>
      <c r="AQ14" s="379">
        <v>23000</v>
      </c>
      <c r="AR14" s="379">
        <v>22970</v>
      </c>
      <c r="AS14" s="379">
        <v>22920</v>
      </c>
      <c r="AT14" s="379">
        <v>22860</v>
      </c>
      <c r="AU14" s="379">
        <v>22810</v>
      </c>
      <c r="AV14" s="379">
        <v>22750</v>
      </c>
      <c r="AW14" s="379">
        <v>22710</v>
      </c>
      <c r="AX14" s="379">
        <v>22680</v>
      </c>
      <c r="AY14" s="379">
        <v>22680</v>
      </c>
      <c r="AZ14" s="379">
        <v>22700</v>
      </c>
      <c r="BA14" s="379">
        <v>22750</v>
      </c>
      <c r="BB14" s="379">
        <v>22800</v>
      </c>
      <c r="BC14" s="379">
        <v>22870</v>
      </c>
      <c r="BD14" s="379">
        <v>22940</v>
      </c>
      <c r="BE14" s="379">
        <v>23020</v>
      </c>
      <c r="BF14" s="379">
        <v>23080</v>
      </c>
    </row>
    <row r="15" spans="1:58" x14ac:dyDescent="0.2">
      <c r="A15" s="378" t="s">
        <v>25</v>
      </c>
      <c r="B15" s="238"/>
      <c r="C15" s="379">
        <v>22370</v>
      </c>
      <c r="D15" s="379">
        <v>22750</v>
      </c>
      <c r="E15" s="379">
        <v>23570</v>
      </c>
      <c r="F15" s="379">
        <v>24340</v>
      </c>
      <c r="G15" s="379">
        <v>25290</v>
      </c>
      <c r="H15" s="379">
        <v>26280</v>
      </c>
      <c r="I15" s="379">
        <v>25490</v>
      </c>
      <c r="J15" s="379">
        <v>25180</v>
      </c>
      <c r="K15" s="379">
        <v>24750</v>
      </c>
      <c r="L15" s="379">
        <v>24730</v>
      </c>
      <c r="M15" s="379">
        <v>24340</v>
      </c>
      <c r="N15" s="379">
        <v>23380</v>
      </c>
      <c r="O15" s="379">
        <v>23380</v>
      </c>
      <c r="P15" s="379">
        <v>23020</v>
      </c>
      <c r="Q15" s="379">
        <v>23500</v>
      </c>
      <c r="R15" s="379">
        <v>23010</v>
      </c>
      <c r="S15" s="379">
        <v>21990</v>
      </c>
      <c r="T15" s="379">
        <v>22250</v>
      </c>
      <c r="U15" s="379">
        <v>22700</v>
      </c>
      <c r="V15" s="379">
        <v>22510</v>
      </c>
      <c r="W15" s="379">
        <v>22860</v>
      </c>
      <c r="X15" s="379">
        <v>23770</v>
      </c>
      <c r="Y15" s="379">
        <v>24580</v>
      </c>
      <c r="Z15" s="379">
        <v>24340</v>
      </c>
      <c r="AA15" s="379">
        <v>24220</v>
      </c>
      <c r="AB15" s="379">
        <v>23800</v>
      </c>
      <c r="AC15" s="379">
        <v>23240</v>
      </c>
      <c r="AD15" s="379">
        <v>23240</v>
      </c>
      <c r="AE15" s="379">
        <v>23300</v>
      </c>
      <c r="AF15" s="379">
        <v>23390</v>
      </c>
      <c r="AG15" s="379">
        <v>23520</v>
      </c>
      <c r="AH15" s="379">
        <v>23660</v>
      </c>
      <c r="AI15" s="379">
        <v>23800</v>
      </c>
      <c r="AJ15" s="379">
        <v>23940</v>
      </c>
      <c r="AK15" s="379">
        <v>24060</v>
      </c>
      <c r="AL15" s="379">
        <v>24170</v>
      </c>
      <c r="AM15" s="379">
        <v>24250</v>
      </c>
      <c r="AN15" s="379">
        <v>24320</v>
      </c>
      <c r="AO15" s="379">
        <v>24360</v>
      </c>
      <c r="AP15" s="379">
        <v>24380</v>
      </c>
      <c r="AQ15" s="379">
        <v>24380</v>
      </c>
      <c r="AR15" s="379">
        <v>24360</v>
      </c>
      <c r="AS15" s="379">
        <v>24330</v>
      </c>
      <c r="AT15" s="379">
        <v>24280</v>
      </c>
      <c r="AU15" s="379">
        <v>24220</v>
      </c>
      <c r="AV15" s="379">
        <v>24160</v>
      </c>
      <c r="AW15" s="379">
        <v>24100</v>
      </c>
      <c r="AX15" s="379">
        <v>24060</v>
      </c>
      <c r="AY15" s="379">
        <v>24030</v>
      </c>
      <c r="AZ15" s="379">
        <v>24030</v>
      </c>
      <c r="BA15" s="379">
        <v>24050</v>
      </c>
      <c r="BB15" s="379">
        <v>24100</v>
      </c>
      <c r="BC15" s="379">
        <v>24160</v>
      </c>
      <c r="BD15" s="379">
        <v>24230</v>
      </c>
      <c r="BE15" s="379">
        <v>24300</v>
      </c>
      <c r="BF15" s="379">
        <v>24380</v>
      </c>
    </row>
    <row r="16" spans="1:58" x14ac:dyDescent="0.2">
      <c r="A16" s="378" t="s">
        <v>26</v>
      </c>
      <c r="B16" s="238"/>
      <c r="C16" s="379">
        <v>22760</v>
      </c>
      <c r="D16" s="379">
        <v>22930</v>
      </c>
      <c r="E16" s="379">
        <v>23470</v>
      </c>
      <c r="F16" s="379">
        <v>24660</v>
      </c>
      <c r="G16" s="379">
        <v>25680</v>
      </c>
      <c r="H16" s="379">
        <v>26720</v>
      </c>
      <c r="I16" s="379">
        <v>27590</v>
      </c>
      <c r="J16" s="379">
        <v>26890</v>
      </c>
      <c r="K16" s="379">
        <v>26730</v>
      </c>
      <c r="L16" s="379">
        <v>26410</v>
      </c>
      <c r="M16" s="379">
        <v>26460</v>
      </c>
      <c r="N16" s="379">
        <v>26120</v>
      </c>
      <c r="O16" s="379">
        <v>25160</v>
      </c>
      <c r="P16" s="379">
        <v>25210</v>
      </c>
      <c r="Q16" s="379">
        <v>24890</v>
      </c>
      <c r="R16" s="379">
        <v>25440</v>
      </c>
      <c r="S16" s="379">
        <v>24970</v>
      </c>
      <c r="T16" s="379">
        <v>23920</v>
      </c>
      <c r="U16" s="379">
        <v>24240</v>
      </c>
      <c r="V16" s="379">
        <v>24760</v>
      </c>
      <c r="W16" s="379">
        <v>24600</v>
      </c>
      <c r="X16" s="379">
        <v>25000</v>
      </c>
      <c r="Y16" s="379">
        <v>26010</v>
      </c>
      <c r="Z16" s="379">
        <v>26920</v>
      </c>
      <c r="AA16" s="379">
        <v>26690</v>
      </c>
      <c r="AB16" s="379">
        <v>26570</v>
      </c>
      <c r="AC16" s="379">
        <v>26140</v>
      </c>
      <c r="AD16" s="379">
        <v>25550</v>
      </c>
      <c r="AE16" s="379">
        <v>25560</v>
      </c>
      <c r="AF16" s="379">
        <v>25630</v>
      </c>
      <c r="AG16" s="379">
        <v>25740</v>
      </c>
      <c r="AH16" s="379">
        <v>25880</v>
      </c>
      <c r="AI16" s="379">
        <v>26030</v>
      </c>
      <c r="AJ16" s="379">
        <v>26180</v>
      </c>
      <c r="AK16" s="379">
        <v>26330</v>
      </c>
      <c r="AL16" s="379">
        <v>26460</v>
      </c>
      <c r="AM16" s="379">
        <v>26580</v>
      </c>
      <c r="AN16" s="379">
        <v>26670</v>
      </c>
      <c r="AO16" s="379">
        <v>26740</v>
      </c>
      <c r="AP16" s="379">
        <v>26790</v>
      </c>
      <c r="AQ16" s="379">
        <v>26810</v>
      </c>
      <c r="AR16" s="379">
        <v>26810</v>
      </c>
      <c r="AS16" s="379">
        <v>26790</v>
      </c>
      <c r="AT16" s="379">
        <v>26750</v>
      </c>
      <c r="AU16" s="379">
        <v>26700</v>
      </c>
      <c r="AV16" s="379">
        <v>26640</v>
      </c>
      <c r="AW16" s="379">
        <v>26570</v>
      </c>
      <c r="AX16" s="379">
        <v>26510</v>
      </c>
      <c r="AY16" s="379">
        <v>26460</v>
      </c>
      <c r="AZ16" s="379">
        <v>26430</v>
      </c>
      <c r="BA16" s="379">
        <v>26430</v>
      </c>
      <c r="BB16" s="379">
        <v>26460</v>
      </c>
      <c r="BC16" s="379">
        <v>26510</v>
      </c>
      <c r="BD16" s="379">
        <v>26570</v>
      </c>
      <c r="BE16" s="379">
        <v>26650</v>
      </c>
      <c r="BF16" s="379">
        <v>26730</v>
      </c>
    </row>
    <row r="17" spans="1:58" x14ac:dyDescent="0.2">
      <c r="A17" s="378" t="s">
        <v>27</v>
      </c>
      <c r="B17" s="238"/>
      <c r="C17" s="379">
        <v>23640</v>
      </c>
      <c r="D17" s="379">
        <v>23520</v>
      </c>
      <c r="E17" s="379">
        <v>23890</v>
      </c>
      <c r="F17" s="379">
        <v>24740</v>
      </c>
      <c r="G17" s="379">
        <v>26100</v>
      </c>
      <c r="H17" s="379">
        <v>27030</v>
      </c>
      <c r="I17" s="379">
        <v>27900</v>
      </c>
      <c r="J17" s="379">
        <v>28860</v>
      </c>
      <c r="K17" s="379">
        <v>28240</v>
      </c>
      <c r="L17" s="379">
        <v>28160</v>
      </c>
      <c r="M17" s="379">
        <v>27820</v>
      </c>
      <c r="N17" s="379">
        <v>27880</v>
      </c>
      <c r="O17" s="379">
        <v>27520</v>
      </c>
      <c r="P17" s="379">
        <v>26520</v>
      </c>
      <c r="Q17" s="379">
        <v>26580</v>
      </c>
      <c r="R17" s="379">
        <v>26240</v>
      </c>
      <c r="S17" s="379">
        <v>26820</v>
      </c>
      <c r="T17" s="379">
        <v>26330</v>
      </c>
      <c r="U17" s="379">
        <v>25230</v>
      </c>
      <c r="V17" s="379">
        <v>25570</v>
      </c>
      <c r="W17" s="379">
        <v>26110</v>
      </c>
      <c r="X17" s="379">
        <v>25940</v>
      </c>
      <c r="Y17" s="379">
        <v>26360</v>
      </c>
      <c r="Z17" s="379">
        <v>27420</v>
      </c>
      <c r="AA17" s="379">
        <v>28360</v>
      </c>
      <c r="AB17" s="379">
        <v>28120</v>
      </c>
      <c r="AC17" s="379">
        <v>28000</v>
      </c>
      <c r="AD17" s="379">
        <v>27550</v>
      </c>
      <c r="AE17" s="379">
        <v>26930</v>
      </c>
      <c r="AF17" s="379">
        <v>26950</v>
      </c>
      <c r="AG17" s="379">
        <v>27020</v>
      </c>
      <c r="AH17" s="379">
        <v>27130</v>
      </c>
      <c r="AI17" s="379">
        <v>27280</v>
      </c>
      <c r="AJ17" s="379">
        <v>27440</v>
      </c>
      <c r="AK17" s="379">
        <v>27600</v>
      </c>
      <c r="AL17" s="379">
        <v>27750</v>
      </c>
      <c r="AM17" s="379">
        <v>27890</v>
      </c>
      <c r="AN17" s="379">
        <v>28010</v>
      </c>
      <c r="AO17" s="379">
        <v>28110</v>
      </c>
      <c r="AP17" s="379">
        <v>28180</v>
      </c>
      <c r="AQ17" s="379">
        <v>28230</v>
      </c>
      <c r="AR17" s="379">
        <v>28250</v>
      </c>
      <c r="AS17" s="379">
        <v>28260</v>
      </c>
      <c r="AT17" s="379">
        <v>28240</v>
      </c>
      <c r="AU17" s="379">
        <v>28200</v>
      </c>
      <c r="AV17" s="379">
        <v>28140</v>
      </c>
      <c r="AW17" s="379">
        <v>28080</v>
      </c>
      <c r="AX17" s="379">
        <v>28010</v>
      </c>
      <c r="AY17" s="379">
        <v>27940</v>
      </c>
      <c r="AZ17" s="379">
        <v>27890</v>
      </c>
      <c r="BA17" s="379">
        <v>27870</v>
      </c>
      <c r="BB17" s="379">
        <v>27860</v>
      </c>
      <c r="BC17" s="379">
        <v>27890</v>
      </c>
      <c r="BD17" s="379">
        <v>27940</v>
      </c>
      <c r="BE17" s="379">
        <v>28010</v>
      </c>
      <c r="BF17" s="379">
        <v>28090</v>
      </c>
    </row>
    <row r="18" spans="1:58" x14ac:dyDescent="0.2">
      <c r="A18" s="378" t="s">
        <v>28</v>
      </c>
      <c r="B18" s="238"/>
      <c r="C18" s="379">
        <v>24360</v>
      </c>
      <c r="D18" s="379">
        <v>24290</v>
      </c>
      <c r="E18" s="379">
        <v>24400</v>
      </c>
      <c r="F18" s="379">
        <v>25070</v>
      </c>
      <c r="G18" s="379">
        <v>26030</v>
      </c>
      <c r="H18" s="379">
        <v>27280</v>
      </c>
      <c r="I18" s="379">
        <v>28070</v>
      </c>
      <c r="J18" s="379">
        <v>29040</v>
      </c>
      <c r="K18" s="379">
        <v>30160</v>
      </c>
      <c r="L18" s="379">
        <v>29610</v>
      </c>
      <c r="M18" s="379">
        <v>29520</v>
      </c>
      <c r="N18" s="379">
        <v>29170</v>
      </c>
      <c r="O18" s="379">
        <v>29230</v>
      </c>
      <c r="P18" s="379">
        <v>28860</v>
      </c>
      <c r="Q18" s="379">
        <v>27820</v>
      </c>
      <c r="R18" s="379">
        <v>27880</v>
      </c>
      <c r="S18" s="379">
        <v>27530</v>
      </c>
      <c r="T18" s="379">
        <v>28130</v>
      </c>
      <c r="U18" s="379">
        <v>27620</v>
      </c>
      <c r="V18" s="379">
        <v>26480</v>
      </c>
      <c r="W18" s="379">
        <v>26830</v>
      </c>
      <c r="X18" s="379">
        <v>27390</v>
      </c>
      <c r="Y18" s="379">
        <v>27220</v>
      </c>
      <c r="Z18" s="379">
        <v>27650</v>
      </c>
      <c r="AA18" s="379">
        <v>28760</v>
      </c>
      <c r="AB18" s="379">
        <v>29740</v>
      </c>
      <c r="AC18" s="379">
        <v>29490</v>
      </c>
      <c r="AD18" s="379">
        <v>29360</v>
      </c>
      <c r="AE18" s="379">
        <v>28900</v>
      </c>
      <c r="AF18" s="379">
        <v>28250</v>
      </c>
      <c r="AG18" s="379">
        <v>28270</v>
      </c>
      <c r="AH18" s="379">
        <v>28340</v>
      </c>
      <c r="AI18" s="379">
        <v>28460</v>
      </c>
      <c r="AJ18" s="379">
        <v>28620</v>
      </c>
      <c r="AK18" s="379">
        <v>28780</v>
      </c>
      <c r="AL18" s="379">
        <v>28950</v>
      </c>
      <c r="AM18" s="379">
        <v>29110</v>
      </c>
      <c r="AN18" s="379">
        <v>29260</v>
      </c>
      <c r="AO18" s="379">
        <v>29380</v>
      </c>
      <c r="AP18" s="379">
        <v>29480</v>
      </c>
      <c r="AQ18" s="379">
        <v>29560</v>
      </c>
      <c r="AR18" s="379">
        <v>29610</v>
      </c>
      <c r="AS18" s="379">
        <v>29630</v>
      </c>
      <c r="AT18" s="379">
        <v>29630</v>
      </c>
      <c r="AU18" s="379">
        <v>29620</v>
      </c>
      <c r="AV18" s="379">
        <v>29570</v>
      </c>
      <c r="AW18" s="379">
        <v>29520</v>
      </c>
      <c r="AX18" s="379">
        <v>29450</v>
      </c>
      <c r="AY18" s="379">
        <v>29380</v>
      </c>
      <c r="AZ18" s="379">
        <v>29310</v>
      </c>
      <c r="BA18" s="379">
        <v>29260</v>
      </c>
      <c r="BB18" s="379">
        <v>29230</v>
      </c>
      <c r="BC18" s="379">
        <v>29230</v>
      </c>
      <c r="BD18" s="379">
        <v>29260</v>
      </c>
      <c r="BE18" s="379">
        <v>29310</v>
      </c>
      <c r="BF18" s="379">
        <v>29380</v>
      </c>
    </row>
    <row r="19" spans="1:58" x14ac:dyDescent="0.2">
      <c r="A19" s="378" t="s">
        <v>29</v>
      </c>
      <c r="B19" s="238"/>
      <c r="C19" s="379">
        <v>24050</v>
      </c>
      <c r="D19" s="379">
        <v>24760</v>
      </c>
      <c r="E19" s="379">
        <v>24790</v>
      </c>
      <c r="F19" s="379">
        <v>25280</v>
      </c>
      <c r="G19" s="379">
        <v>26060</v>
      </c>
      <c r="H19" s="379">
        <v>26770</v>
      </c>
      <c r="I19" s="379">
        <v>27930</v>
      </c>
      <c r="J19" s="379">
        <v>28800</v>
      </c>
      <c r="K19" s="379">
        <v>29920</v>
      </c>
      <c r="L19" s="379">
        <v>31170</v>
      </c>
      <c r="M19" s="379">
        <v>30600</v>
      </c>
      <c r="N19" s="379">
        <v>30510</v>
      </c>
      <c r="O19" s="379">
        <v>30150</v>
      </c>
      <c r="P19" s="379">
        <v>30210</v>
      </c>
      <c r="Q19" s="379">
        <v>29830</v>
      </c>
      <c r="R19" s="379">
        <v>28770</v>
      </c>
      <c r="S19" s="379">
        <v>28830</v>
      </c>
      <c r="T19" s="379">
        <v>28470</v>
      </c>
      <c r="U19" s="379">
        <v>29080</v>
      </c>
      <c r="V19" s="379">
        <v>28560</v>
      </c>
      <c r="W19" s="379">
        <v>27390</v>
      </c>
      <c r="X19" s="379">
        <v>27750</v>
      </c>
      <c r="Y19" s="379">
        <v>28330</v>
      </c>
      <c r="Z19" s="379">
        <v>28150</v>
      </c>
      <c r="AA19" s="379">
        <v>28600</v>
      </c>
      <c r="AB19" s="379">
        <v>29730</v>
      </c>
      <c r="AC19" s="379">
        <v>30740</v>
      </c>
      <c r="AD19" s="379">
        <v>30480</v>
      </c>
      <c r="AE19" s="379">
        <v>30350</v>
      </c>
      <c r="AF19" s="379">
        <v>29880</v>
      </c>
      <c r="AG19" s="379">
        <v>29220</v>
      </c>
      <c r="AH19" s="379">
        <v>29230</v>
      </c>
      <c r="AI19" s="379">
        <v>29310</v>
      </c>
      <c r="AJ19" s="379">
        <v>29430</v>
      </c>
      <c r="AK19" s="379">
        <v>29590</v>
      </c>
      <c r="AL19" s="379">
        <v>29760</v>
      </c>
      <c r="AM19" s="379">
        <v>29930</v>
      </c>
      <c r="AN19" s="379">
        <v>30100</v>
      </c>
      <c r="AO19" s="379">
        <v>30250</v>
      </c>
      <c r="AP19" s="379">
        <v>30380</v>
      </c>
      <c r="AQ19" s="379">
        <v>30480</v>
      </c>
      <c r="AR19" s="379">
        <v>30560</v>
      </c>
      <c r="AS19" s="379">
        <v>30610</v>
      </c>
      <c r="AT19" s="379">
        <v>30640</v>
      </c>
      <c r="AU19" s="379">
        <v>30640</v>
      </c>
      <c r="AV19" s="379">
        <v>30620</v>
      </c>
      <c r="AW19" s="379">
        <v>30580</v>
      </c>
      <c r="AX19" s="379">
        <v>30520</v>
      </c>
      <c r="AY19" s="379">
        <v>30450</v>
      </c>
      <c r="AZ19" s="379">
        <v>30370</v>
      </c>
      <c r="BA19" s="379">
        <v>30310</v>
      </c>
      <c r="BB19" s="379">
        <v>30250</v>
      </c>
      <c r="BC19" s="379">
        <v>30220</v>
      </c>
      <c r="BD19" s="379">
        <v>30220</v>
      </c>
      <c r="BE19" s="379">
        <v>30250</v>
      </c>
      <c r="BF19" s="379">
        <v>30310</v>
      </c>
    </row>
    <row r="20" spans="1:58" x14ac:dyDescent="0.2">
      <c r="A20" s="380" t="s">
        <v>30</v>
      </c>
      <c r="B20" s="238"/>
      <c r="C20" s="379">
        <v>23360</v>
      </c>
      <c r="D20" s="379">
        <v>24110</v>
      </c>
      <c r="E20" s="379">
        <v>24890</v>
      </c>
      <c r="F20" s="379">
        <v>25230</v>
      </c>
      <c r="G20" s="379">
        <v>25780</v>
      </c>
      <c r="H20" s="379">
        <v>26370</v>
      </c>
      <c r="I20" s="379">
        <v>26970</v>
      </c>
      <c r="J20" s="379">
        <v>28200</v>
      </c>
      <c r="K20" s="379">
        <v>29210</v>
      </c>
      <c r="L20" s="379">
        <v>30440</v>
      </c>
      <c r="M20" s="379">
        <v>31700</v>
      </c>
      <c r="N20" s="379">
        <v>31130</v>
      </c>
      <c r="O20" s="379">
        <v>31040</v>
      </c>
      <c r="P20" s="379">
        <v>30680</v>
      </c>
      <c r="Q20" s="379">
        <v>30740</v>
      </c>
      <c r="R20" s="379">
        <v>30350</v>
      </c>
      <c r="S20" s="379">
        <v>29270</v>
      </c>
      <c r="T20" s="379">
        <v>29340</v>
      </c>
      <c r="U20" s="379">
        <v>28970</v>
      </c>
      <c r="V20" s="379">
        <v>29600</v>
      </c>
      <c r="W20" s="379">
        <v>29070</v>
      </c>
      <c r="X20" s="379">
        <v>27890</v>
      </c>
      <c r="Y20" s="379">
        <v>28250</v>
      </c>
      <c r="Z20" s="379">
        <v>28840</v>
      </c>
      <c r="AA20" s="379">
        <v>28650</v>
      </c>
      <c r="AB20" s="379">
        <v>29110</v>
      </c>
      <c r="AC20" s="379">
        <v>30250</v>
      </c>
      <c r="AD20" s="379">
        <v>31270</v>
      </c>
      <c r="AE20" s="379">
        <v>31010</v>
      </c>
      <c r="AF20" s="379">
        <v>30880</v>
      </c>
      <c r="AG20" s="379">
        <v>30400</v>
      </c>
      <c r="AH20" s="379">
        <v>29740</v>
      </c>
      <c r="AI20" s="379">
        <v>29750</v>
      </c>
      <c r="AJ20" s="379">
        <v>29830</v>
      </c>
      <c r="AK20" s="379">
        <v>29950</v>
      </c>
      <c r="AL20" s="379">
        <v>30110</v>
      </c>
      <c r="AM20" s="379">
        <v>30290</v>
      </c>
      <c r="AN20" s="379">
        <v>30460</v>
      </c>
      <c r="AO20" s="379">
        <v>30630</v>
      </c>
      <c r="AP20" s="379">
        <v>30780</v>
      </c>
      <c r="AQ20" s="379">
        <v>30910</v>
      </c>
      <c r="AR20" s="379">
        <v>31020</v>
      </c>
      <c r="AS20" s="379">
        <v>31100</v>
      </c>
      <c r="AT20" s="379">
        <v>31150</v>
      </c>
      <c r="AU20" s="379">
        <v>31170</v>
      </c>
      <c r="AV20" s="379">
        <v>31180</v>
      </c>
      <c r="AW20" s="379">
        <v>31160</v>
      </c>
      <c r="AX20" s="379">
        <v>31110</v>
      </c>
      <c r="AY20" s="379">
        <v>31050</v>
      </c>
      <c r="AZ20" s="379">
        <v>30980</v>
      </c>
      <c r="BA20" s="379">
        <v>30910</v>
      </c>
      <c r="BB20" s="379">
        <v>30840</v>
      </c>
      <c r="BC20" s="379">
        <v>30790</v>
      </c>
      <c r="BD20" s="379">
        <v>30760</v>
      </c>
      <c r="BE20" s="379">
        <v>30760</v>
      </c>
      <c r="BF20" s="379">
        <v>30790</v>
      </c>
    </row>
    <row r="21" spans="1:58" x14ac:dyDescent="0.2">
      <c r="A21" s="380" t="s">
        <v>31</v>
      </c>
      <c r="B21" s="238"/>
      <c r="C21" s="379">
        <v>22970</v>
      </c>
      <c r="D21" s="379">
        <v>23800</v>
      </c>
      <c r="E21" s="379">
        <v>24480</v>
      </c>
      <c r="F21" s="379">
        <v>25550</v>
      </c>
      <c r="G21" s="379">
        <v>26080</v>
      </c>
      <c r="H21" s="379">
        <v>26360</v>
      </c>
      <c r="I21" s="379">
        <v>26890</v>
      </c>
      <c r="J21" s="379">
        <v>27550</v>
      </c>
      <c r="K21" s="379">
        <v>28940</v>
      </c>
      <c r="L21" s="379">
        <v>30070</v>
      </c>
      <c r="M21" s="379">
        <v>31330</v>
      </c>
      <c r="N21" s="379">
        <v>32620</v>
      </c>
      <c r="O21" s="379">
        <v>32030</v>
      </c>
      <c r="P21" s="379">
        <v>31940</v>
      </c>
      <c r="Q21" s="379">
        <v>31570</v>
      </c>
      <c r="R21" s="379">
        <v>31630</v>
      </c>
      <c r="S21" s="379">
        <v>31240</v>
      </c>
      <c r="T21" s="379">
        <v>30140</v>
      </c>
      <c r="U21" s="379">
        <v>30200</v>
      </c>
      <c r="V21" s="379">
        <v>29830</v>
      </c>
      <c r="W21" s="379">
        <v>30470</v>
      </c>
      <c r="X21" s="379">
        <v>29930</v>
      </c>
      <c r="Y21" s="379">
        <v>28720</v>
      </c>
      <c r="Z21" s="379">
        <v>29090</v>
      </c>
      <c r="AA21" s="379">
        <v>29690</v>
      </c>
      <c r="AB21" s="379">
        <v>29510</v>
      </c>
      <c r="AC21" s="379">
        <v>29970</v>
      </c>
      <c r="AD21" s="379">
        <v>31140</v>
      </c>
      <c r="AE21" s="379">
        <v>32190</v>
      </c>
      <c r="AF21" s="379">
        <v>31920</v>
      </c>
      <c r="AG21" s="379">
        <v>31790</v>
      </c>
      <c r="AH21" s="379">
        <v>31290</v>
      </c>
      <c r="AI21" s="379">
        <v>30610</v>
      </c>
      <c r="AJ21" s="379">
        <v>30630</v>
      </c>
      <c r="AK21" s="379">
        <v>30710</v>
      </c>
      <c r="AL21" s="379">
        <v>30840</v>
      </c>
      <c r="AM21" s="379">
        <v>31000</v>
      </c>
      <c r="AN21" s="379">
        <v>31180</v>
      </c>
      <c r="AO21" s="379">
        <v>31350</v>
      </c>
      <c r="AP21" s="379">
        <v>31530</v>
      </c>
      <c r="AQ21" s="379">
        <v>31680</v>
      </c>
      <c r="AR21" s="379">
        <v>31820</v>
      </c>
      <c r="AS21" s="379">
        <v>31920</v>
      </c>
      <c r="AT21" s="379">
        <v>32010</v>
      </c>
      <c r="AU21" s="379">
        <v>32060</v>
      </c>
      <c r="AV21" s="379">
        <v>32090</v>
      </c>
      <c r="AW21" s="379">
        <v>32090</v>
      </c>
      <c r="AX21" s="379">
        <v>32070</v>
      </c>
      <c r="AY21" s="379">
        <v>32030</v>
      </c>
      <c r="AZ21" s="379">
        <v>31970</v>
      </c>
      <c r="BA21" s="379">
        <v>31890</v>
      </c>
      <c r="BB21" s="379">
        <v>31820</v>
      </c>
      <c r="BC21" s="379">
        <v>31750</v>
      </c>
      <c r="BD21" s="379">
        <v>31700</v>
      </c>
      <c r="BE21" s="379">
        <v>31660</v>
      </c>
      <c r="BF21" s="379">
        <v>31660</v>
      </c>
    </row>
    <row r="22" spans="1:58" x14ac:dyDescent="0.2">
      <c r="A22" s="380" t="s">
        <v>32</v>
      </c>
      <c r="B22" s="238"/>
      <c r="C22" s="379">
        <v>22580</v>
      </c>
      <c r="D22" s="379">
        <v>23320</v>
      </c>
      <c r="E22" s="379">
        <v>24130</v>
      </c>
      <c r="F22" s="379">
        <v>25060</v>
      </c>
      <c r="G22" s="379">
        <v>26300</v>
      </c>
      <c r="H22" s="379">
        <v>26460</v>
      </c>
      <c r="I22" s="379">
        <v>26760</v>
      </c>
      <c r="J22" s="379">
        <v>27350</v>
      </c>
      <c r="K22" s="379">
        <v>28150</v>
      </c>
      <c r="L22" s="379">
        <v>29650</v>
      </c>
      <c r="M22" s="379">
        <v>30800</v>
      </c>
      <c r="N22" s="379">
        <v>32080</v>
      </c>
      <c r="O22" s="379">
        <v>33390</v>
      </c>
      <c r="P22" s="379">
        <v>32800</v>
      </c>
      <c r="Q22" s="379">
        <v>32700</v>
      </c>
      <c r="R22" s="379">
        <v>32330</v>
      </c>
      <c r="S22" s="379">
        <v>32390</v>
      </c>
      <c r="T22" s="379">
        <v>31990</v>
      </c>
      <c r="U22" s="379">
        <v>30870</v>
      </c>
      <c r="V22" s="379">
        <v>30940</v>
      </c>
      <c r="W22" s="379">
        <v>30560</v>
      </c>
      <c r="X22" s="379">
        <v>31210</v>
      </c>
      <c r="Y22" s="379">
        <v>30660</v>
      </c>
      <c r="Z22" s="379">
        <v>29440</v>
      </c>
      <c r="AA22" s="379">
        <v>29810</v>
      </c>
      <c r="AB22" s="379">
        <v>30420</v>
      </c>
      <c r="AC22" s="379">
        <v>30230</v>
      </c>
      <c r="AD22" s="379">
        <v>30710</v>
      </c>
      <c r="AE22" s="379">
        <v>31900</v>
      </c>
      <c r="AF22" s="379">
        <v>32960</v>
      </c>
      <c r="AG22" s="379">
        <v>32690</v>
      </c>
      <c r="AH22" s="379">
        <v>32550</v>
      </c>
      <c r="AI22" s="379">
        <v>32050</v>
      </c>
      <c r="AJ22" s="379">
        <v>31360</v>
      </c>
      <c r="AK22" s="379">
        <v>31380</v>
      </c>
      <c r="AL22" s="379">
        <v>31460</v>
      </c>
      <c r="AM22" s="379">
        <v>31590</v>
      </c>
      <c r="AN22" s="379">
        <v>31760</v>
      </c>
      <c r="AO22" s="379">
        <v>31940</v>
      </c>
      <c r="AP22" s="379">
        <v>32120</v>
      </c>
      <c r="AQ22" s="379">
        <v>32290</v>
      </c>
      <c r="AR22" s="379">
        <v>32450</v>
      </c>
      <c r="AS22" s="379">
        <v>32590</v>
      </c>
      <c r="AT22" s="379">
        <v>32700</v>
      </c>
      <c r="AU22" s="379">
        <v>32780</v>
      </c>
      <c r="AV22" s="379">
        <v>32840</v>
      </c>
      <c r="AW22" s="379">
        <v>32860</v>
      </c>
      <c r="AX22" s="379">
        <v>32870</v>
      </c>
      <c r="AY22" s="379">
        <v>32850</v>
      </c>
      <c r="AZ22" s="379">
        <v>32800</v>
      </c>
      <c r="BA22" s="379">
        <v>32740</v>
      </c>
      <c r="BB22" s="379">
        <v>32670</v>
      </c>
      <c r="BC22" s="379">
        <v>32590</v>
      </c>
      <c r="BD22" s="379">
        <v>32520</v>
      </c>
      <c r="BE22" s="379">
        <v>32470</v>
      </c>
      <c r="BF22" s="379">
        <v>32440</v>
      </c>
    </row>
    <row r="23" spans="1:58" x14ac:dyDescent="0.2">
      <c r="A23" s="380" t="s">
        <v>33</v>
      </c>
      <c r="B23" s="238"/>
      <c r="C23" s="379">
        <v>22120</v>
      </c>
      <c r="D23" s="379">
        <v>22880</v>
      </c>
      <c r="E23" s="379">
        <v>23550</v>
      </c>
      <c r="F23" s="379">
        <v>24560</v>
      </c>
      <c r="G23" s="379">
        <v>25450</v>
      </c>
      <c r="H23" s="379">
        <v>26480</v>
      </c>
      <c r="I23" s="379">
        <v>26650</v>
      </c>
      <c r="J23" s="379">
        <v>27000</v>
      </c>
      <c r="K23" s="379">
        <v>27710</v>
      </c>
      <c r="L23" s="379">
        <v>28590</v>
      </c>
      <c r="M23" s="379">
        <v>30110</v>
      </c>
      <c r="N23" s="379">
        <v>31260</v>
      </c>
      <c r="O23" s="379">
        <v>32540</v>
      </c>
      <c r="P23" s="379">
        <v>33860</v>
      </c>
      <c r="Q23" s="379">
        <v>33260</v>
      </c>
      <c r="R23" s="379">
        <v>33170</v>
      </c>
      <c r="S23" s="379">
        <v>32790</v>
      </c>
      <c r="T23" s="379">
        <v>32860</v>
      </c>
      <c r="U23" s="379">
        <v>32460</v>
      </c>
      <c r="V23" s="379">
        <v>31330</v>
      </c>
      <c r="W23" s="379">
        <v>31400</v>
      </c>
      <c r="X23" s="379">
        <v>31020</v>
      </c>
      <c r="Y23" s="379">
        <v>31670</v>
      </c>
      <c r="Z23" s="379">
        <v>31120</v>
      </c>
      <c r="AA23" s="379">
        <v>29890</v>
      </c>
      <c r="AB23" s="379">
        <v>30270</v>
      </c>
      <c r="AC23" s="379">
        <v>30880</v>
      </c>
      <c r="AD23" s="379">
        <v>30690</v>
      </c>
      <c r="AE23" s="379">
        <v>31170</v>
      </c>
      <c r="AF23" s="379">
        <v>32360</v>
      </c>
      <c r="AG23" s="379">
        <v>33430</v>
      </c>
      <c r="AH23" s="379">
        <v>33160</v>
      </c>
      <c r="AI23" s="379">
        <v>33030</v>
      </c>
      <c r="AJ23" s="379">
        <v>32520</v>
      </c>
      <c r="AK23" s="379">
        <v>31830</v>
      </c>
      <c r="AL23" s="379">
        <v>31850</v>
      </c>
      <c r="AM23" s="379">
        <v>31930</v>
      </c>
      <c r="AN23" s="379">
        <v>32060</v>
      </c>
      <c r="AO23" s="379">
        <v>32230</v>
      </c>
      <c r="AP23" s="379">
        <v>32410</v>
      </c>
      <c r="AQ23" s="379">
        <v>32590</v>
      </c>
      <c r="AR23" s="379">
        <v>32760</v>
      </c>
      <c r="AS23" s="379">
        <v>32930</v>
      </c>
      <c r="AT23" s="379">
        <v>33060</v>
      </c>
      <c r="AU23" s="379">
        <v>33170</v>
      </c>
      <c r="AV23" s="379">
        <v>33260</v>
      </c>
      <c r="AW23" s="379">
        <v>33310</v>
      </c>
      <c r="AX23" s="379">
        <v>33340</v>
      </c>
      <c r="AY23" s="379">
        <v>33340</v>
      </c>
      <c r="AZ23" s="379">
        <v>33320</v>
      </c>
      <c r="BA23" s="379">
        <v>33280</v>
      </c>
      <c r="BB23" s="379">
        <v>33220</v>
      </c>
      <c r="BC23" s="379">
        <v>33150</v>
      </c>
      <c r="BD23" s="379">
        <v>33070</v>
      </c>
      <c r="BE23" s="379">
        <v>33000</v>
      </c>
      <c r="BF23" s="379">
        <v>32950</v>
      </c>
    </row>
    <row r="24" spans="1:58" x14ac:dyDescent="0.2">
      <c r="A24" s="380" t="s">
        <v>34</v>
      </c>
      <c r="B24" s="238"/>
      <c r="C24" s="379">
        <v>22750</v>
      </c>
      <c r="D24" s="379">
        <v>22550</v>
      </c>
      <c r="E24" s="379">
        <v>23200</v>
      </c>
      <c r="F24" s="379">
        <v>24030</v>
      </c>
      <c r="G24" s="379">
        <v>24910</v>
      </c>
      <c r="H24" s="379">
        <v>25770</v>
      </c>
      <c r="I24" s="379">
        <v>26750</v>
      </c>
      <c r="J24" s="379">
        <v>26960</v>
      </c>
      <c r="K24" s="379">
        <v>27410</v>
      </c>
      <c r="L24" s="379">
        <v>28200</v>
      </c>
      <c r="M24" s="379">
        <v>29090</v>
      </c>
      <c r="N24" s="379">
        <v>30610</v>
      </c>
      <c r="O24" s="379">
        <v>31770</v>
      </c>
      <c r="P24" s="379">
        <v>33060</v>
      </c>
      <c r="Q24" s="379">
        <v>34390</v>
      </c>
      <c r="R24" s="379">
        <v>33780</v>
      </c>
      <c r="S24" s="379">
        <v>33690</v>
      </c>
      <c r="T24" s="379">
        <v>33310</v>
      </c>
      <c r="U24" s="379">
        <v>33380</v>
      </c>
      <c r="V24" s="379">
        <v>32980</v>
      </c>
      <c r="W24" s="379">
        <v>31850</v>
      </c>
      <c r="X24" s="379">
        <v>31920</v>
      </c>
      <c r="Y24" s="379">
        <v>31530</v>
      </c>
      <c r="Z24" s="379">
        <v>32190</v>
      </c>
      <c r="AA24" s="379">
        <v>31640</v>
      </c>
      <c r="AB24" s="379">
        <v>30400</v>
      </c>
      <c r="AC24" s="379">
        <v>30780</v>
      </c>
      <c r="AD24" s="379">
        <v>31400</v>
      </c>
      <c r="AE24" s="379">
        <v>31210</v>
      </c>
      <c r="AF24" s="379">
        <v>31680</v>
      </c>
      <c r="AG24" s="379">
        <v>32890</v>
      </c>
      <c r="AH24" s="379">
        <v>33960</v>
      </c>
      <c r="AI24" s="379">
        <v>33690</v>
      </c>
      <c r="AJ24" s="379">
        <v>33550</v>
      </c>
      <c r="AK24" s="379">
        <v>33050</v>
      </c>
      <c r="AL24" s="379">
        <v>32350</v>
      </c>
      <c r="AM24" s="379">
        <v>32370</v>
      </c>
      <c r="AN24" s="379">
        <v>32450</v>
      </c>
      <c r="AO24" s="379">
        <v>32580</v>
      </c>
      <c r="AP24" s="379">
        <v>32750</v>
      </c>
      <c r="AQ24" s="379">
        <v>32930</v>
      </c>
      <c r="AR24" s="379">
        <v>33110</v>
      </c>
      <c r="AS24" s="379">
        <v>33290</v>
      </c>
      <c r="AT24" s="379">
        <v>33450</v>
      </c>
      <c r="AU24" s="379">
        <v>33590</v>
      </c>
      <c r="AV24" s="379">
        <v>33700</v>
      </c>
      <c r="AW24" s="379">
        <v>33790</v>
      </c>
      <c r="AX24" s="379">
        <v>33850</v>
      </c>
      <c r="AY24" s="379">
        <v>33870</v>
      </c>
      <c r="AZ24" s="379">
        <v>33880</v>
      </c>
      <c r="BA24" s="379">
        <v>33860</v>
      </c>
      <c r="BB24" s="379">
        <v>33810</v>
      </c>
      <c r="BC24" s="379">
        <v>33750</v>
      </c>
      <c r="BD24" s="379">
        <v>33680</v>
      </c>
      <c r="BE24" s="379">
        <v>33600</v>
      </c>
      <c r="BF24" s="379">
        <v>33530</v>
      </c>
    </row>
    <row r="25" spans="1:58" x14ac:dyDescent="0.2">
      <c r="A25" s="380" t="s">
        <v>35</v>
      </c>
      <c r="B25" s="238"/>
      <c r="C25" s="379">
        <v>23170</v>
      </c>
      <c r="D25" s="379">
        <v>23120</v>
      </c>
      <c r="E25" s="379">
        <v>22930</v>
      </c>
      <c r="F25" s="379">
        <v>23690</v>
      </c>
      <c r="G25" s="379">
        <v>24460</v>
      </c>
      <c r="H25" s="379">
        <v>25250</v>
      </c>
      <c r="I25" s="379">
        <v>26040</v>
      </c>
      <c r="J25" s="379">
        <v>27070</v>
      </c>
      <c r="K25" s="379">
        <v>27380</v>
      </c>
      <c r="L25" s="379">
        <v>27900</v>
      </c>
      <c r="M25" s="379">
        <v>28690</v>
      </c>
      <c r="N25" s="379">
        <v>29590</v>
      </c>
      <c r="O25" s="379">
        <v>31120</v>
      </c>
      <c r="P25" s="379">
        <v>32280</v>
      </c>
      <c r="Q25" s="379">
        <v>33580</v>
      </c>
      <c r="R25" s="379">
        <v>34910</v>
      </c>
      <c r="S25" s="379">
        <v>34310</v>
      </c>
      <c r="T25" s="379">
        <v>34210</v>
      </c>
      <c r="U25" s="379">
        <v>33840</v>
      </c>
      <c r="V25" s="379">
        <v>33900</v>
      </c>
      <c r="W25" s="379">
        <v>33500</v>
      </c>
      <c r="X25" s="379">
        <v>32360</v>
      </c>
      <c r="Y25" s="379">
        <v>32430</v>
      </c>
      <c r="Z25" s="379">
        <v>32050</v>
      </c>
      <c r="AA25" s="379">
        <v>32710</v>
      </c>
      <c r="AB25" s="379">
        <v>32150</v>
      </c>
      <c r="AC25" s="379">
        <v>30910</v>
      </c>
      <c r="AD25" s="379">
        <v>31290</v>
      </c>
      <c r="AE25" s="379">
        <v>31910</v>
      </c>
      <c r="AF25" s="379">
        <v>31720</v>
      </c>
      <c r="AG25" s="379">
        <v>32200</v>
      </c>
      <c r="AH25" s="379">
        <v>33410</v>
      </c>
      <c r="AI25" s="379">
        <v>34490</v>
      </c>
      <c r="AJ25" s="379">
        <v>34220</v>
      </c>
      <c r="AK25" s="379">
        <v>34080</v>
      </c>
      <c r="AL25" s="379">
        <v>33570</v>
      </c>
      <c r="AM25" s="379">
        <v>32870</v>
      </c>
      <c r="AN25" s="379">
        <v>32890</v>
      </c>
      <c r="AO25" s="379">
        <v>32970</v>
      </c>
      <c r="AP25" s="379">
        <v>33110</v>
      </c>
      <c r="AQ25" s="379">
        <v>33280</v>
      </c>
      <c r="AR25" s="379">
        <v>33460</v>
      </c>
      <c r="AS25" s="379">
        <v>33640</v>
      </c>
      <c r="AT25" s="379">
        <v>33820</v>
      </c>
      <c r="AU25" s="379">
        <v>33980</v>
      </c>
      <c r="AV25" s="379">
        <v>34120</v>
      </c>
      <c r="AW25" s="379">
        <v>34240</v>
      </c>
      <c r="AX25" s="379">
        <v>34320</v>
      </c>
      <c r="AY25" s="379">
        <v>34380</v>
      </c>
      <c r="AZ25" s="379">
        <v>34410</v>
      </c>
      <c r="BA25" s="379">
        <v>34410</v>
      </c>
      <c r="BB25" s="379">
        <v>34390</v>
      </c>
      <c r="BC25" s="379">
        <v>34350</v>
      </c>
      <c r="BD25" s="379">
        <v>34280</v>
      </c>
      <c r="BE25" s="379">
        <v>34210</v>
      </c>
      <c r="BF25" s="379">
        <v>34140</v>
      </c>
    </row>
    <row r="26" spans="1:58" x14ac:dyDescent="0.2">
      <c r="A26" s="380" t="s">
        <v>36</v>
      </c>
      <c r="B26" s="238"/>
      <c r="C26" s="379">
        <v>24120</v>
      </c>
      <c r="D26" s="379">
        <v>23500</v>
      </c>
      <c r="E26" s="379">
        <v>23470</v>
      </c>
      <c r="F26" s="379">
        <v>23290</v>
      </c>
      <c r="G26" s="379">
        <v>23980</v>
      </c>
      <c r="H26" s="379">
        <v>24690</v>
      </c>
      <c r="I26" s="379">
        <v>25430</v>
      </c>
      <c r="J26" s="379">
        <v>26260</v>
      </c>
      <c r="K26" s="379">
        <v>27380</v>
      </c>
      <c r="L26" s="379">
        <v>27750</v>
      </c>
      <c r="M26" s="379">
        <v>28280</v>
      </c>
      <c r="N26" s="379">
        <v>29070</v>
      </c>
      <c r="O26" s="379">
        <v>29970</v>
      </c>
      <c r="P26" s="379">
        <v>31510</v>
      </c>
      <c r="Q26" s="379">
        <v>32670</v>
      </c>
      <c r="R26" s="379">
        <v>33980</v>
      </c>
      <c r="S26" s="379">
        <v>35310</v>
      </c>
      <c r="T26" s="379">
        <v>34710</v>
      </c>
      <c r="U26" s="379">
        <v>34610</v>
      </c>
      <c r="V26" s="379">
        <v>34240</v>
      </c>
      <c r="W26" s="379">
        <v>34300</v>
      </c>
      <c r="X26" s="379">
        <v>33900</v>
      </c>
      <c r="Y26" s="379">
        <v>32760</v>
      </c>
      <c r="Z26" s="379">
        <v>32830</v>
      </c>
      <c r="AA26" s="379">
        <v>32440</v>
      </c>
      <c r="AB26" s="379">
        <v>33110</v>
      </c>
      <c r="AC26" s="379">
        <v>32550</v>
      </c>
      <c r="AD26" s="379">
        <v>31300</v>
      </c>
      <c r="AE26" s="379">
        <v>31690</v>
      </c>
      <c r="AF26" s="379">
        <v>32310</v>
      </c>
      <c r="AG26" s="379">
        <v>32120</v>
      </c>
      <c r="AH26" s="379">
        <v>32600</v>
      </c>
      <c r="AI26" s="379">
        <v>33810</v>
      </c>
      <c r="AJ26" s="379">
        <v>34900</v>
      </c>
      <c r="AK26" s="379">
        <v>34620</v>
      </c>
      <c r="AL26" s="379">
        <v>34480</v>
      </c>
      <c r="AM26" s="379">
        <v>33980</v>
      </c>
      <c r="AN26" s="379">
        <v>33270</v>
      </c>
      <c r="AO26" s="379">
        <v>33290</v>
      </c>
      <c r="AP26" s="379">
        <v>33380</v>
      </c>
      <c r="AQ26" s="379">
        <v>33510</v>
      </c>
      <c r="AR26" s="379">
        <v>33680</v>
      </c>
      <c r="AS26" s="379">
        <v>33860</v>
      </c>
      <c r="AT26" s="379">
        <v>34050</v>
      </c>
      <c r="AU26" s="379">
        <v>34230</v>
      </c>
      <c r="AV26" s="379">
        <v>34390</v>
      </c>
      <c r="AW26" s="379">
        <v>34530</v>
      </c>
      <c r="AX26" s="379">
        <v>34640</v>
      </c>
      <c r="AY26" s="379">
        <v>34730</v>
      </c>
      <c r="AZ26" s="379">
        <v>34790</v>
      </c>
      <c r="BA26" s="379">
        <v>34820</v>
      </c>
      <c r="BB26" s="379">
        <v>34820</v>
      </c>
      <c r="BC26" s="379">
        <v>34800</v>
      </c>
      <c r="BD26" s="379">
        <v>34760</v>
      </c>
      <c r="BE26" s="379">
        <v>34690</v>
      </c>
      <c r="BF26" s="379">
        <v>34620</v>
      </c>
    </row>
    <row r="27" spans="1:58" x14ac:dyDescent="0.2">
      <c r="A27" s="380" t="s">
        <v>37</v>
      </c>
      <c r="B27" s="238"/>
      <c r="C27" s="379">
        <v>25070</v>
      </c>
      <c r="D27" s="379">
        <v>24330</v>
      </c>
      <c r="E27" s="379">
        <v>23700</v>
      </c>
      <c r="F27" s="379">
        <v>23700</v>
      </c>
      <c r="G27" s="379">
        <v>23460</v>
      </c>
      <c r="H27" s="379">
        <v>24100</v>
      </c>
      <c r="I27" s="379">
        <v>24780</v>
      </c>
      <c r="J27" s="379">
        <v>25550</v>
      </c>
      <c r="K27" s="379">
        <v>26440</v>
      </c>
      <c r="L27" s="379">
        <v>27610</v>
      </c>
      <c r="M27" s="379">
        <v>27980</v>
      </c>
      <c r="N27" s="379">
        <v>28510</v>
      </c>
      <c r="O27" s="379">
        <v>29310</v>
      </c>
      <c r="P27" s="379">
        <v>30210</v>
      </c>
      <c r="Q27" s="379">
        <v>31740</v>
      </c>
      <c r="R27" s="379">
        <v>32910</v>
      </c>
      <c r="S27" s="379">
        <v>34220</v>
      </c>
      <c r="T27" s="379">
        <v>35560</v>
      </c>
      <c r="U27" s="379">
        <v>34950</v>
      </c>
      <c r="V27" s="379">
        <v>34860</v>
      </c>
      <c r="W27" s="379">
        <v>34480</v>
      </c>
      <c r="X27" s="379">
        <v>34550</v>
      </c>
      <c r="Y27" s="379">
        <v>34140</v>
      </c>
      <c r="Z27" s="379">
        <v>33000</v>
      </c>
      <c r="AA27" s="379">
        <v>33070</v>
      </c>
      <c r="AB27" s="379">
        <v>32690</v>
      </c>
      <c r="AC27" s="379">
        <v>33350</v>
      </c>
      <c r="AD27" s="379">
        <v>32790</v>
      </c>
      <c r="AE27" s="379">
        <v>31540</v>
      </c>
      <c r="AF27" s="379">
        <v>31930</v>
      </c>
      <c r="AG27" s="379">
        <v>32550</v>
      </c>
      <c r="AH27" s="379">
        <v>32360</v>
      </c>
      <c r="AI27" s="379">
        <v>32840</v>
      </c>
      <c r="AJ27" s="379">
        <v>34060</v>
      </c>
      <c r="AK27" s="379">
        <v>35140</v>
      </c>
      <c r="AL27" s="379">
        <v>34870</v>
      </c>
      <c r="AM27" s="379">
        <v>34730</v>
      </c>
      <c r="AN27" s="379">
        <v>34230</v>
      </c>
      <c r="AO27" s="379">
        <v>33520</v>
      </c>
      <c r="AP27" s="379">
        <v>33540</v>
      </c>
      <c r="AQ27" s="379">
        <v>33620</v>
      </c>
      <c r="AR27" s="379">
        <v>33760</v>
      </c>
      <c r="AS27" s="379">
        <v>33930</v>
      </c>
      <c r="AT27" s="379">
        <v>34110</v>
      </c>
      <c r="AU27" s="379">
        <v>34300</v>
      </c>
      <c r="AV27" s="379">
        <v>34480</v>
      </c>
      <c r="AW27" s="379">
        <v>34640</v>
      </c>
      <c r="AX27" s="379">
        <v>34780</v>
      </c>
      <c r="AY27" s="379">
        <v>34900</v>
      </c>
      <c r="AZ27" s="379">
        <v>34980</v>
      </c>
      <c r="BA27" s="379">
        <v>35040</v>
      </c>
      <c r="BB27" s="379">
        <v>35070</v>
      </c>
      <c r="BC27" s="379">
        <v>35070</v>
      </c>
      <c r="BD27" s="379">
        <v>35050</v>
      </c>
      <c r="BE27" s="379">
        <v>35010</v>
      </c>
      <c r="BF27" s="379">
        <v>34950</v>
      </c>
    </row>
    <row r="28" spans="1:58" x14ac:dyDescent="0.2">
      <c r="A28" s="380" t="s">
        <v>38</v>
      </c>
      <c r="B28" s="238"/>
      <c r="C28" s="379">
        <v>26240</v>
      </c>
      <c r="D28" s="379">
        <v>25280</v>
      </c>
      <c r="E28" s="379">
        <v>24460</v>
      </c>
      <c r="F28" s="379">
        <v>23890</v>
      </c>
      <c r="G28" s="379">
        <v>23800</v>
      </c>
      <c r="H28" s="379">
        <v>23500</v>
      </c>
      <c r="I28" s="379">
        <v>24140</v>
      </c>
      <c r="J28" s="379">
        <v>24850</v>
      </c>
      <c r="K28" s="379">
        <v>25670</v>
      </c>
      <c r="L28" s="379">
        <v>26600</v>
      </c>
      <c r="M28" s="379">
        <v>27770</v>
      </c>
      <c r="N28" s="379">
        <v>28140</v>
      </c>
      <c r="O28" s="379">
        <v>28670</v>
      </c>
      <c r="P28" s="379">
        <v>29470</v>
      </c>
      <c r="Q28" s="379">
        <v>30370</v>
      </c>
      <c r="R28" s="379">
        <v>31910</v>
      </c>
      <c r="S28" s="379">
        <v>33090</v>
      </c>
      <c r="T28" s="379">
        <v>34390</v>
      </c>
      <c r="U28" s="379">
        <v>35730</v>
      </c>
      <c r="V28" s="379">
        <v>35130</v>
      </c>
      <c r="W28" s="379">
        <v>35040</v>
      </c>
      <c r="X28" s="379">
        <v>34660</v>
      </c>
      <c r="Y28" s="379">
        <v>34720</v>
      </c>
      <c r="Z28" s="379">
        <v>34320</v>
      </c>
      <c r="AA28" s="379">
        <v>33170</v>
      </c>
      <c r="AB28" s="379">
        <v>33240</v>
      </c>
      <c r="AC28" s="379">
        <v>32860</v>
      </c>
      <c r="AD28" s="379">
        <v>33530</v>
      </c>
      <c r="AE28" s="379">
        <v>32970</v>
      </c>
      <c r="AF28" s="379">
        <v>31710</v>
      </c>
      <c r="AG28" s="379">
        <v>32100</v>
      </c>
      <c r="AH28" s="379">
        <v>32730</v>
      </c>
      <c r="AI28" s="379">
        <v>32540</v>
      </c>
      <c r="AJ28" s="379">
        <v>33020</v>
      </c>
      <c r="AK28" s="379">
        <v>34240</v>
      </c>
      <c r="AL28" s="379">
        <v>35330</v>
      </c>
      <c r="AM28" s="379">
        <v>35050</v>
      </c>
      <c r="AN28" s="379">
        <v>34920</v>
      </c>
      <c r="AO28" s="379">
        <v>34410</v>
      </c>
      <c r="AP28" s="379">
        <v>33700</v>
      </c>
      <c r="AQ28" s="379">
        <v>33720</v>
      </c>
      <c r="AR28" s="379">
        <v>33800</v>
      </c>
      <c r="AS28" s="379">
        <v>33940</v>
      </c>
      <c r="AT28" s="379">
        <v>34110</v>
      </c>
      <c r="AU28" s="379">
        <v>34300</v>
      </c>
      <c r="AV28" s="379">
        <v>34480</v>
      </c>
      <c r="AW28" s="379">
        <v>34660</v>
      </c>
      <c r="AX28" s="379">
        <v>34830</v>
      </c>
      <c r="AY28" s="379">
        <v>34970</v>
      </c>
      <c r="AZ28" s="379">
        <v>35080</v>
      </c>
      <c r="BA28" s="379">
        <v>35170</v>
      </c>
      <c r="BB28" s="379">
        <v>35230</v>
      </c>
      <c r="BC28" s="379">
        <v>35260</v>
      </c>
      <c r="BD28" s="379">
        <v>35260</v>
      </c>
      <c r="BE28" s="379">
        <v>35240</v>
      </c>
      <c r="BF28" s="379">
        <v>35200</v>
      </c>
    </row>
    <row r="29" spans="1:58" x14ac:dyDescent="0.2">
      <c r="A29" s="380" t="s">
        <v>39</v>
      </c>
      <c r="B29" s="238"/>
      <c r="C29" s="379">
        <v>27590</v>
      </c>
      <c r="D29" s="379">
        <v>26490</v>
      </c>
      <c r="E29" s="379">
        <v>25400</v>
      </c>
      <c r="F29" s="379">
        <v>24650</v>
      </c>
      <c r="G29" s="379">
        <v>24000</v>
      </c>
      <c r="H29" s="379">
        <v>23880</v>
      </c>
      <c r="I29" s="379">
        <v>23500</v>
      </c>
      <c r="J29" s="379">
        <v>24170</v>
      </c>
      <c r="K29" s="379">
        <v>24920</v>
      </c>
      <c r="L29" s="379">
        <v>25780</v>
      </c>
      <c r="M29" s="379">
        <v>26710</v>
      </c>
      <c r="N29" s="379">
        <v>27880</v>
      </c>
      <c r="O29" s="379">
        <v>28260</v>
      </c>
      <c r="P29" s="379">
        <v>28790</v>
      </c>
      <c r="Q29" s="379">
        <v>29590</v>
      </c>
      <c r="R29" s="379">
        <v>30490</v>
      </c>
      <c r="S29" s="379">
        <v>32030</v>
      </c>
      <c r="T29" s="379">
        <v>33210</v>
      </c>
      <c r="U29" s="379">
        <v>34520</v>
      </c>
      <c r="V29" s="379">
        <v>35860</v>
      </c>
      <c r="W29" s="379">
        <v>35250</v>
      </c>
      <c r="X29" s="379">
        <v>35160</v>
      </c>
      <c r="Y29" s="379">
        <v>34780</v>
      </c>
      <c r="Z29" s="379">
        <v>34850</v>
      </c>
      <c r="AA29" s="379">
        <v>34440</v>
      </c>
      <c r="AB29" s="379">
        <v>33300</v>
      </c>
      <c r="AC29" s="379">
        <v>33370</v>
      </c>
      <c r="AD29" s="379">
        <v>32990</v>
      </c>
      <c r="AE29" s="379">
        <v>33650</v>
      </c>
      <c r="AF29" s="379">
        <v>33090</v>
      </c>
      <c r="AG29" s="379">
        <v>31840</v>
      </c>
      <c r="AH29" s="379">
        <v>32230</v>
      </c>
      <c r="AI29" s="379">
        <v>32850</v>
      </c>
      <c r="AJ29" s="379">
        <v>32660</v>
      </c>
      <c r="AK29" s="379">
        <v>33150</v>
      </c>
      <c r="AL29" s="379">
        <v>34370</v>
      </c>
      <c r="AM29" s="379">
        <v>35460</v>
      </c>
      <c r="AN29" s="379">
        <v>35180</v>
      </c>
      <c r="AO29" s="379">
        <v>35050</v>
      </c>
      <c r="AP29" s="379">
        <v>34540</v>
      </c>
      <c r="AQ29" s="379">
        <v>33830</v>
      </c>
      <c r="AR29" s="379">
        <v>33850</v>
      </c>
      <c r="AS29" s="379">
        <v>33930</v>
      </c>
      <c r="AT29" s="379">
        <v>34070</v>
      </c>
      <c r="AU29" s="379">
        <v>34240</v>
      </c>
      <c r="AV29" s="379">
        <v>34430</v>
      </c>
      <c r="AW29" s="379">
        <v>34610</v>
      </c>
      <c r="AX29" s="379">
        <v>34790</v>
      </c>
      <c r="AY29" s="379">
        <v>34960</v>
      </c>
      <c r="AZ29" s="379">
        <v>35100</v>
      </c>
      <c r="BA29" s="379">
        <v>35220</v>
      </c>
      <c r="BB29" s="379">
        <v>35300</v>
      </c>
      <c r="BC29" s="379">
        <v>35360</v>
      </c>
      <c r="BD29" s="379">
        <v>35390</v>
      </c>
      <c r="BE29" s="379">
        <v>35390</v>
      </c>
      <c r="BF29" s="379">
        <v>35380</v>
      </c>
    </row>
    <row r="30" spans="1:58" x14ac:dyDescent="0.2">
      <c r="A30" s="380" t="s">
        <v>40</v>
      </c>
      <c r="B30" s="238"/>
      <c r="C30" s="379">
        <v>28030</v>
      </c>
      <c r="D30" s="379">
        <v>27740</v>
      </c>
      <c r="E30" s="379">
        <v>26530</v>
      </c>
      <c r="F30" s="379">
        <v>25460</v>
      </c>
      <c r="G30" s="379">
        <v>24720</v>
      </c>
      <c r="H30" s="379">
        <v>23980</v>
      </c>
      <c r="I30" s="379">
        <v>23820</v>
      </c>
      <c r="J30" s="379">
        <v>23460</v>
      </c>
      <c r="K30" s="379">
        <v>24180</v>
      </c>
      <c r="L30" s="379">
        <v>24960</v>
      </c>
      <c r="M30" s="379">
        <v>25820</v>
      </c>
      <c r="N30" s="379">
        <v>26760</v>
      </c>
      <c r="O30" s="379">
        <v>27920</v>
      </c>
      <c r="P30" s="379">
        <v>28300</v>
      </c>
      <c r="Q30" s="379">
        <v>28830</v>
      </c>
      <c r="R30" s="379">
        <v>29630</v>
      </c>
      <c r="S30" s="379">
        <v>30530</v>
      </c>
      <c r="T30" s="379">
        <v>32070</v>
      </c>
      <c r="U30" s="379">
        <v>33250</v>
      </c>
      <c r="V30" s="379">
        <v>34550</v>
      </c>
      <c r="W30" s="379">
        <v>35900</v>
      </c>
      <c r="X30" s="379">
        <v>35290</v>
      </c>
      <c r="Y30" s="379">
        <v>35200</v>
      </c>
      <c r="Z30" s="379">
        <v>34820</v>
      </c>
      <c r="AA30" s="379">
        <v>34890</v>
      </c>
      <c r="AB30" s="379">
        <v>34480</v>
      </c>
      <c r="AC30" s="379">
        <v>33340</v>
      </c>
      <c r="AD30" s="379">
        <v>33410</v>
      </c>
      <c r="AE30" s="379">
        <v>33030</v>
      </c>
      <c r="AF30" s="379">
        <v>33690</v>
      </c>
      <c r="AG30" s="379">
        <v>33130</v>
      </c>
      <c r="AH30" s="379">
        <v>31880</v>
      </c>
      <c r="AI30" s="379">
        <v>32270</v>
      </c>
      <c r="AJ30" s="379">
        <v>32900</v>
      </c>
      <c r="AK30" s="379">
        <v>32710</v>
      </c>
      <c r="AL30" s="379">
        <v>33190</v>
      </c>
      <c r="AM30" s="379">
        <v>34410</v>
      </c>
      <c r="AN30" s="379">
        <v>35500</v>
      </c>
      <c r="AO30" s="379">
        <v>35230</v>
      </c>
      <c r="AP30" s="379">
        <v>35090</v>
      </c>
      <c r="AQ30" s="379">
        <v>34580</v>
      </c>
      <c r="AR30" s="379">
        <v>33870</v>
      </c>
      <c r="AS30" s="379">
        <v>33890</v>
      </c>
      <c r="AT30" s="379">
        <v>33980</v>
      </c>
      <c r="AU30" s="379">
        <v>34120</v>
      </c>
      <c r="AV30" s="379">
        <v>34290</v>
      </c>
      <c r="AW30" s="379">
        <v>34470</v>
      </c>
      <c r="AX30" s="379">
        <v>34660</v>
      </c>
      <c r="AY30" s="379">
        <v>34840</v>
      </c>
      <c r="AZ30" s="379">
        <v>35010</v>
      </c>
      <c r="BA30" s="379">
        <v>35150</v>
      </c>
      <c r="BB30" s="379">
        <v>35260</v>
      </c>
      <c r="BC30" s="379">
        <v>35350</v>
      </c>
      <c r="BD30" s="379">
        <v>35410</v>
      </c>
      <c r="BE30" s="379">
        <v>35440</v>
      </c>
      <c r="BF30" s="379">
        <v>35440</v>
      </c>
    </row>
    <row r="31" spans="1:58" x14ac:dyDescent="0.2">
      <c r="A31" s="380" t="s">
        <v>41</v>
      </c>
      <c r="B31" s="238"/>
      <c r="C31" s="379">
        <v>27600</v>
      </c>
      <c r="D31" s="379">
        <v>28150</v>
      </c>
      <c r="E31" s="379">
        <v>27830</v>
      </c>
      <c r="F31" s="379">
        <v>26590</v>
      </c>
      <c r="G31" s="379">
        <v>25490</v>
      </c>
      <c r="H31" s="379">
        <v>24680</v>
      </c>
      <c r="I31" s="379">
        <v>23890</v>
      </c>
      <c r="J31" s="379">
        <v>23750</v>
      </c>
      <c r="K31" s="379">
        <v>23450</v>
      </c>
      <c r="L31" s="379">
        <v>24200</v>
      </c>
      <c r="M31" s="379">
        <v>24980</v>
      </c>
      <c r="N31" s="379">
        <v>25840</v>
      </c>
      <c r="O31" s="379">
        <v>26770</v>
      </c>
      <c r="P31" s="379">
        <v>27940</v>
      </c>
      <c r="Q31" s="379">
        <v>28320</v>
      </c>
      <c r="R31" s="379">
        <v>28850</v>
      </c>
      <c r="S31" s="379">
        <v>29650</v>
      </c>
      <c r="T31" s="379">
        <v>30550</v>
      </c>
      <c r="U31" s="379">
        <v>32090</v>
      </c>
      <c r="V31" s="379">
        <v>33260</v>
      </c>
      <c r="W31" s="379">
        <v>34570</v>
      </c>
      <c r="X31" s="379">
        <v>35910</v>
      </c>
      <c r="Y31" s="379">
        <v>35310</v>
      </c>
      <c r="Z31" s="379">
        <v>35210</v>
      </c>
      <c r="AA31" s="379">
        <v>34840</v>
      </c>
      <c r="AB31" s="379">
        <v>34900</v>
      </c>
      <c r="AC31" s="379">
        <v>34500</v>
      </c>
      <c r="AD31" s="379">
        <v>33360</v>
      </c>
      <c r="AE31" s="379">
        <v>33430</v>
      </c>
      <c r="AF31" s="379">
        <v>33050</v>
      </c>
      <c r="AG31" s="379">
        <v>33710</v>
      </c>
      <c r="AH31" s="379">
        <v>33150</v>
      </c>
      <c r="AI31" s="379">
        <v>31900</v>
      </c>
      <c r="AJ31" s="379">
        <v>32290</v>
      </c>
      <c r="AK31" s="379">
        <v>32920</v>
      </c>
      <c r="AL31" s="379">
        <v>32730</v>
      </c>
      <c r="AM31" s="379">
        <v>33210</v>
      </c>
      <c r="AN31" s="379">
        <v>34430</v>
      </c>
      <c r="AO31" s="379">
        <v>35520</v>
      </c>
      <c r="AP31" s="379">
        <v>35250</v>
      </c>
      <c r="AQ31" s="379">
        <v>35110</v>
      </c>
      <c r="AR31" s="379">
        <v>34600</v>
      </c>
      <c r="AS31" s="379">
        <v>33900</v>
      </c>
      <c r="AT31" s="379">
        <v>33920</v>
      </c>
      <c r="AU31" s="379">
        <v>34000</v>
      </c>
      <c r="AV31" s="379">
        <v>34140</v>
      </c>
      <c r="AW31" s="379">
        <v>34310</v>
      </c>
      <c r="AX31" s="379">
        <v>34500</v>
      </c>
      <c r="AY31" s="379">
        <v>34680</v>
      </c>
      <c r="AZ31" s="379">
        <v>34860</v>
      </c>
      <c r="BA31" s="379">
        <v>35030</v>
      </c>
      <c r="BB31" s="379">
        <v>35170</v>
      </c>
      <c r="BC31" s="379">
        <v>35290</v>
      </c>
      <c r="BD31" s="379">
        <v>35370</v>
      </c>
      <c r="BE31" s="379">
        <v>35430</v>
      </c>
      <c r="BF31" s="379">
        <v>35460</v>
      </c>
    </row>
    <row r="32" spans="1:58" x14ac:dyDescent="0.2">
      <c r="A32" s="380" t="s">
        <v>42</v>
      </c>
      <c r="B32" s="238"/>
      <c r="C32" s="379">
        <v>27940</v>
      </c>
      <c r="D32" s="379">
        <v>27720</v>
      </c>
      <c r="E32" s="379">
        <v>28230</v>
      </c>
      <c r="F32" s="379">
        <v>27880</v>
      </c>
      <c r="G32" s="379">
        <v>26650</v>
      </c>
      <c r="H32" s="379">
        <v>25460</v>
      </c>
      <c r="I32" s="379">
        <v>24580</v>
      </c>
      <c r="J32" s="379">
        <v>23810</v>
      </c>
      <c r="K32" s="379">
        <v>23720</v>
      </c>
      <c r="L32" s="379">
        <v>23450</v>
      </c>
      <c r="M32" s="379">
        <v>24200</v>
      </c>
      <c r="N32" s="379">
        <v>24980</v>
      </c>
      <c r="O32" s="379">
        <v>25840</v>
      </c>
      <c r="P32" s="379">
        <v>26770</v>
      </c>
      <c r="Q32" s="379">
        <v>27940</v>
      </c>
      <c r="R32" s="379">
        <v>28310</v>
      </c>
      <c r="S32" s="379">
        <v>28840</v>
      </c>
      <c r="T32" s="379">
        <v>29640</v>
      </c>
      <c r="U32" s="379">
        <v>30550</v>
      </c>
      <c r="V32" s="379">
        <v>32080</v>
      </c>
      <c r="W32" s="379">
        <v>33260</v>
      </c>
      <c r="X32" s="379">
        <v>34560</v>
      </c>
      <c r="Y32" s="379">
        <v>35910</v>
      </c>
      <c r="Z32" s="379">
        <v>35300</v>
      </c>
      <c r="AA32" s="379">
        <v>35210</v>
      </c>
      <c r="AB32" s="379">
        <v>34830</v>
      </c>
      <c r="AC32" s="379">
        <v>34900</v>
      </c>
      <c r="AD32" s="379">
        <v>34500</v>
      </c>
      <c r="AE32" s="379">
        <v>33360</v>
      </c>
      <c r="AF32" s="379">
        <v>33430</v>
      </c>
      <c r="AG32" s="379">
        <v>33050</v>
      </c>
      <c r="AH32" s="379">
        <v>33710</v>
      </c>
      <c r="AI32" s="379">
        <v>33150</v>
      </c>
      <c r="AJ32" s="379">
        <v>31900</v>
      </c>
      <c r="AK32" s="379">
        <v>32290</v>
      </c>
      <c r="AL32" s="379">
        <v>32920</v>
      </c>
      <c r="AM32" s="379">
        <v>32730</v>
      </c>
      <c r="AN32" s="379">
        <v>33210</v>
      </c>
      <c r="AO32" s="379">
        <v>34430</v>
      </c>
      <c r="AP32" s="379">
        <v>35520</v>
      </c>
      <c r="AQ32" s="379">
        <v>35250</v>
      </c>
      <c r="AR32" s="379">
        <v>35110</v>
      </c>
      <c r="AS32" s="379">
        <v>34600</v>
      </c>
      <c r="AT32" s="379">
        <v>33900</v>
      </c>
      <c r="AU32" s="379">
        <v>33920</v>
      </c>
      <c r="AV32" s="379">
        <v>34010</v>
      </c>
      <c r="AW32" s="379">
        <v>34140</v>
      </c>
      <c r="AX32" s="379">
        <v>34310</v>
      </c>
      <c r="AY32" s="379">
        <v>34500</v>
      </c>
      <c r="AZ32" s="379">
        <v>34690</v>
      </c>
      <c r="BA32" s="379">
        <v>34870</v>
      </c>
      <c r="BB32" s="379">
        <v>35030</v>
      </c>
      <c r="BC32" s="379">
        <v>35170</v>
      </c>
      <c r="BD32" s="379">
        <v>35290</v>
      </c>
      <c r="BE32" s="379">
        <v>35380</v>
      </c>
      <c r="BF32" s="379">
        <v>35440</v>
      </c>
    </row>
    <row r="33" spans="1:58" x14ac:dyDescent="0.2">
      <c r="A33" s="380" t="s">
        <v>43</v>
      </c>
      <c r="B33" s="238"/>
      <c r="C33" s="379">
        <v>27630</v>
      </c>
      <c r="D33" s="379">
        <v>28060</v>
      </c>
      <c r="E33" s="379">
        <v>27720</v>
      </c>
      <c r="F33" s="379">
        <v>28270</v>
      </c>
      <c r="G33" s="379">
        <v>27880</v>
      </c>
      <c r="H33" s="379">
        <v>26560</v>
      </c>
      <c r="I33" s="379">
        <v>25350</v>
      </c>
      <c r="J33" s="379">
        <v>24490</v>
      </c>
      <c r="K33" s="379">
        <v>23770</v>
      </c>
      <c r="L33" s="379">
        <v>23710</v>
      </c>
      <c r="M33" s="379">
        <v>23440</v>
      </c>
      <c r="N33" s="379">
        <v>24180</v>
      </c>
      <c r="O33" s="379">
        <v>24970</v>
      </c>
      <c r="P33" s="379">
        <v>25820</v>
      </c>
      <c r="Q33" s="379">
        <v>26760</v>
      </c>
      <c r="R33" s="379">
        <v>27920</v>
      </c>
      <c r="S33" s="379">
        <v>28300</v>
      </c>
      <c r="T33" s="379">
        <v>28830</v>
      </c>
      <c r="U33" s="379">
        <v>29630</v>
      </c>
      <c r="V33" s="379">
        <v>30530</v>
      </c>
      <c r="W33" s="379">
        <v>32070</v>
      </c>
      <c r="X33" s="379">
        <v>33240</v>
      </c>
      <c r="Y33" s="379">
        <v>34540</v>
      </c>
      <c r="Z33" s="379">
        <v>35880</v>
      </c>
      <c r="AA33" s="379">
        <v>35280</v>
      </c>
      <c r="AB33" s="379">
        <v>35190</v>
      </c>
      <c r="AC33" s="379">
        <v>34810</v>
      </c>
      <c r="AD33" s="379">
        <v>34880</v>
      </c>
      <c r="AE33" s="379">
        <v>34480</v>
      </c>
      <c r="AF33" s="379">
        <v>33340</v>
      </c>
      <c r="AG33" s="379">
        <v>33410</v>
      </c>
      <c r="AH33" s="379">
        <v>33030</v>
      </c>
      <c r="AI33" s="379">
        <v>33700</v>
      </c>
      <c r="AJ33" s="379">
        <v>33140</v>
      </c>
      <c r="AK33" s="379">
        <v>31890</v>
      </c>
      <c r="AL33" s="379">
        <v>32280</v>
      </c>
      <c r="AM33" s="379">
        <v>32910</v>
      </c>
      <c r="AN33" s="379">
        <v>32720</v>
      </c>
      <c r="AO33" s="379">
        <v>33200</v>
      </c>
      <c r="AP33" s="379">
        <v>34420</v>
      </c>
      <c r="AQ33" s="379">
        <v>35510</v>
      </c>
      <c r="AR33" s="379">
        <v>35230</v>
      </c>
      <c r="AS33" s="379">
        <v>35100</v>
      </c>
      <c r="AT33" s="379">
        <v>34590</v>
      </c>
      <c r="AU33" s="379">
        <v>33890</v>
      </c>
      <c r="AV33" s="379">
        <v>33910</v>
      </c>
      <c r="AW33" s="379">
        <v>33990</v>
      </c>
      <c r="AX33" s="379">
        <v>34130</v>
      </c>
      <c r="AY33" s="379">
        <v>34300</v>
      </c>
      <c r="AZ33" s="379">
        <v>34490</v>
      </c>
      <c r="BA33" s="379">
        <v>34680</v>
      </c>
      <c r="BB33" s="379">
        <v>34860</v>
      </c>
      <c r="BC33" s="379">
        <v>35020</v>
      </c>
      <c r="BD33" s="379">
        <v>35170</v>
      </c>
      <c r="BE33" s="379">
        <v>35280</v>
      </c>
      <c r="BF33" s="379">
        <v>35370</v>
      </c>
    </row>
    <row r="34" spans="1:58" x14ac:dyDescent="0.2">
      <c r="A34" s="380" t="s">
        <v>44</v>
      </c>
      <c r="B34" s="238"/>
      <c r="C34" s="379">
        <v>27500</v>
      </c>
      <c r="D34" s="379">
        <v>27750</v>
      </c>
      <c r="E34" s="379">
        <v>28030</v>
      </c>
      <c r="F34" s="379">
        <v>27780</v>
      </c>
      <c r="G34" s="379">
        <v>28240</v>
      </c>
      <c r="H34" s="379">
        <v>27780</v>
      </c>
      <c r="I34" s="379">
        <v>26440</v>
      </c>
      <c r="J34" s="379">
        <v>25250</v>
      </c>
      <c r="K34" s="379">
        <v>24440</v>
      </c>
      <c r="L34" s="379">
        <v>23740</v>
      </c>
      <c r="M34" s="379">
        <v>23680</v>
      </c>
      <c r="N34" s="379">
        <v>23410</v>
      </c>
      <c r="O34" s="379">
        <v>24160</v>
      </c>
      <c r="P34" s="379">
        <v>24940</v>
      </c>
      <c r="Q34" s="379">
        <v>25790</v>
      </c>
      <c r="R34" s="379">
        <v>26730</v>
      </c>
      <c r="S34" s="379">
        <v>27890</v>
      </c>
      <c r="T34" s="379">
        <v>28270</v>
      </c>
      <c r="U34" s="379">
        <v>28800</v>
      </c>
      <c r="V34" s="379">
        <v>29600</v>
      </c>
      <c r="W34" s="379">
        <v>30500</v>
      </c>
      <c r="X34" s="379">
        <v>32030</v>
      </c>
      <c r="Y34" s="379">
        <v>33210</v>
      </c>
      <c r="Z34" s="379">
        <v>34510</v>
      </c>
      <c r="AA34" s="379">
        <v>35850</v>
      </c>
      <c r="AB34" s="379">
        <v>35250</v>
      </c>
      <c r="AC34" s="379">
        <v>35160</v>
      </c>
      <c r="AD34" s="379">
        <v>34780</v>
      </c>
      <c r="AE34" s="379">
        <v>34850</v>
      </c>
      <c r="AF34" s="379">
        <v>34450</v>
      </c>
      <c r="AG34" s="379">
        <v>33310</v>
      </c>
      <c r="AH34" s="379">
        <v>33380</v>
      </c>
      <c r="AI34" s="379">
        <v>33000</v>
      </c>
      <c r="AJ34" s="379">
        <v>33670</v>
      </c>
      <c r="AK34" s="379">
        <v>33110</v>
      </c>
      <c r="AL34" s="379">
        <v>31870</v>
      </c>
      <c r="AM34" s="379">
        <v>32260</v>
      </c>
      <c r="AN34" s="379">
        <v>32880</v>
      </c>
      <c r="AO34" s="379">
        <v>32690</v>
      </c>
      <c r="AP34" s="379">
        <v>33180</v>
      </c>
      <c r="AQ34" s="379">
        <v>34390</v>
      </c>
      <c r="AR34" s="379">
        <v>35480</v>
      </c>
      <c r="AS34" s="379">
        <v>35210</v>
      </c>
      <c r="AT34" s="379">
        <v>35070</v>
      </c>
      <c r="AU34" s="379">
        <v>34570</v>
      </c>
      <c r="AV34" s="379">
        <v>33860</v>
      </c>
      <c r="AW34" s="379">
        <v>33890</v>
      </c>
      <c r="AX34" s="379">
        <v>33970</v>
      </c>
      <c r="AY34" s="379">
        <v>34110</v>
      </c>
      <c r="AZ34" s="379">
        <v>34280</v>
      </c>
      <c r="BA34" s="379">
        <v>34470</v>
      </c>
      <c r="BB34" s="379">
        <v>34650</v>
      </c>
      <c r="BC34" s="379">
        <v>34840</v>
      </c>
      <c r="BD34" s="379">
        <v>35000</v>
      </c>
      <c r="BE34" s="379">
        <v>35140</v>
      </c>
      <c r="BF34" s="379">
        <v>35260</v>
      </c>
    </row>
    <row r="35" spans="1:58" x14ac:dyDescent="0.2">
      <c r="A35" s="380" t="s">
        <v>45</v>
      </c>
      <c r="B35" s="238"/>
      <c r="C35" s="379">
        <v>27820</v>
      </c>
      <c r="D35" s="379">
        <v>27610</v>
      </c>
      <c r="E35" s="379">
        <v>27700</v>
      </c>
      <c r="F35" s="379">
        <v>28080</v>
      </c>
      <c r="G35" s="379">
        <v>27760</v>
      </c>
      <c r="H35" s="379">
        <v>28140</v>
      </c>
      <c r="I35" s="379">
        <v>27650</v>
      </c>
      <c r="J35" s="379">
        <v>26330</v>
      </c>
      <c r="K35" s="379">
        <v>25180</v>
      </c>
      <c r="L35" s="379">
        <v>24400</v>
      </c>
      <c r="M35" s="379">
        <v>23700</v>
      </c>
      <c r="N35" s="379">
        <v>23640</v>
      </c>
      <c r="O35" s="379">
        <v>23370</v>
      </c>
      <c r="P35" s="379">
        <v>24120</v>
      </c>
      <c r="Q35" s="379">
        <v>24900</v>
      </c>
      <c r="R35" s="379">
        <v>25760</v>
      </c>
      <c r="S35" s="379">
        <v>26690</v>
      </c>
      <c r="T35" s="379">
        <v>27850</v>
      </c>
      <c r="U35" s="379">
        <v>28230</v>
      </c>
      <c r="V35" s="379">
        <v>28760</v>
      </c>
      <c r="W35" s="379">
        <v>29560</v>
      </c>
      <c r="X35" s="379">
        <v>30460</v>
      </c>
      <c r="Y35" s="379">
        <v>31990</v>
      </c>
      <c r="Z35" s="379">
        <v>33170</v>
      </c>
      <c r="AA35" s="379">
        <v>34470</v>
      </c>
      <c r="AB35" s="379">
        <v>35810</v>
      </c>
      <c r="AC35" s="379">
        <v>35210</v>
      </c>
      <c r="AD35" s="379">
        <v>35120</v>
      </c>
      <c r="AE35" s="379">
        <v>34740</v>
      </c>
      <c r="AF35" s="379">
        <v>34810</v>
      </c>
      <c r="AG35" s="379">
        <v>34410</v>
      </c>
      <c r="AH35" s="379">
        <v>33270</v>
      </c>
      <c r="AI35" s="379">
        <v>33350</v>
      </c>
      <c r="AJ35" s="379">
        <v>32970</v>
      </c>
      <c r="AK35" s="379">
        <v>33630</v>
      </c>
      <c r="AL35" s="379">
        <v>33080</v>
      </c>
      <c r="AM35" s="379">
        <v>31830</v>
      </c>
      <c r="AN35" s="379">
        <v>32220</v>
      </c>
      <c r="AO35" s="379">
        <v>32850</v>
      </c>
      <c r="AP35" s="379">
        <v>32660</v>
      </c>
      <c r="AQ35" s="379">
        <v>33140</v>
      </c>
      <c r="AR35" s="379">
        <v>34360</v>
      </c>
      <c r="AS35" s="379">
        <v>35450</v>
      </c>
      <c r="AT35" s="379">
        <v>35180</v>
      </c>
      <c r="AU35" s="379">
        <v>35040</v>
      </c>
      <c r="AV35" s="379">
        <v>34540</v>
      </c>
      <c r="AW35" s="379">
        <v>33830</v>
      </c>
      <c r="AX35" s="379">
        <v>33850</v>
      </c>
      <c r="AY35" s="379">
        <v>33940</v>
      </c>
      <c r="AZ35" s="379">
        <v>34080</v>
      </c>
      <c r="BA35" s="379">
        <v>34250</v>
      </c>
      <c r="BB35" s="379">
        <v>34440</v>
      </c>
      <c r="BC35" s="379">
        <v>34620</v>
      </c>
      <c r="BD35" s="379">
        <v>34810</v>
      </c>
      <c r="BE35" s="379">
        <v>34970</v>
      </c>
      <c r="BF35" s="379">
        <v>35110</v>
      </c>
    </row>
    <row r="36" spans="1:58" x14ac:dyDescent="0.2">
      <c r="A36" s="380" t="s">
        <v>46</v>
      </c>
      <c r="B36" s="238"/>
      <c r="C36" s="379">
        <v>28250</v>
      </c>
      <c r="D36" s="379">
        <v>27910</v>
      </c>
      <c r="E36" s="379">
        <v>27600</v>
      </c>
      <c r="F36" s="379">
        <v>27700</v>
      </c>
      <c r="G36" s="379">
        <v>28070</v>
      </c>
      <c r="H36" s="379">
        <v>27660</v>
      </c>
      <c r="I36" s="379">
        <v>28010</v>
      </c>
      <c r="J36" s="379">
        <v>27530</v>
      </c>
      <c r="K36" s="379">
        <v>26250</v>
      </c>
      <c r="L36" s="379">
        <v>25130</v>
      </c>
      <c r="M36" s="379">
        <v>24350</v>
      </c>
      <c r="N36" s="379">
        <v>23660</v>
      </c>
      <c r="O36" s="379">
        <v>23600</v>
      </c>
      <c r="P36" s="379">
        <v>23330</v>
      </c>
      <c r="Q36" s="379">
        <v>24080</v>
      </c>
      <c r="R36" s="379">
        <v>24860</v>
      </c>
      <c r="S36" s="379">
        <v>25710</v>
      </c>
      <c r="T36" s="379">
        <v>26650</v>
      </c>
      <c r="U36" s="379">
        <v>27810</v>
      </c>
      <c r="V36" s="379">
        <v>28190</v>
      </c>
      <c r="W36" s="379">
        <v>28720</v>
      </c>
      <c r="X36" s="379">
        <v>29510</v>
      </c>
      <c r="Y36" s="379">
        <v>30420</v>
      </c>
      <c r="Z36" s="379">
        <v>31950</v>
      </c>
      <c r="AA36" s="379">
        <v>33120</v>
      </c>
      <c r="AB36" s="379">
        <v>34420</v>
      </c>
      <c r="AC36" s="379">
        <v>35760</v>
      </c>
      <c r="AD36" s="379">
        <v>35160</v>
      </c>
      <c r="AE36" s="379">
        <v>35070</v>
      </c>
      <c r="AF36" s="379">
        <v>34700</v>
      </c>
      <c r="AG36" s="379">
        <v>34770</v>
      </c>
      <c r="AH36" s="379">
        <v>34370</v>
      </c>
      <c r="AI36" s="379">
        <v>33230</v>
      </c>
      <c r="AJ36" s="379">
        <v>33310</v>
      </c>
      <c r="AK36" s="379">
        <v>32930</v>
      </c>
      <c r="AL36" s="379">
        <v>33590</v>
      </c>
      <c r="AM36" s="379">
        <v>33040</v>
      </c>
      <c r="AN36" s="379">
        <v>31790</v>
      </c>
      <c r="AO36" s="379">
        <v>32180</v>
      </c>
      <c r="AP36" s="379">
        <v>32810</v>
      </c>
      <c r="AQ36" s="379">
        <v>32620</v>
      </c>
      <c r="AR36" s="379">
        <v>33100</v>
      </c>
      <c r="AS36" s="379">
        <v>34320</v>
      </c>
      <c r="AT36" s="379">
        <v>35410</v>
      </c>
      <c r="AU36" s="379">
        <v>35140</v>
      </c>
      <c r="AV36" s="379">
        <v>35000</v>
      </c>
      <c r="AW36" s="379">
        <v>34500</v>
      </c>
      <c r="AX36" s="379">
        <v>33800</v>
      </c>
      <c r="AY36" s="379">
        <v>33820</v>
      </c>
      <c r="AZ36" s="379">
        <v>33900</v>
      </c>
      <c r="BA36" s="379">
        <v>34040</v>
      </c>
      <c r="BB36" s="379">
        <v>34210</v>
      </c>
      <c r="BC36" s="379">
        <v>34400</v>
      </c>
      <c r="BD36" s="379">
        <v>34590</v>
      </c>
      <c r="BE36" s="379">
        <v>34770</v>
      </c>
      <c r="BF36" s="379">
        <v>34940</v>
      </c>
    </row>
    <row r="37" spans="1:58" x14ac:dyDescent="0.2">
      <c r="A37" s="380" t="s">
        <v>47</v>
      </c>
      <c r="B37" s="238"/>
      <c r="C37" s="379">
        <v>29390</v>
      </c>
      <c r="D37" s="379">
        <v>28310</v>
      </c>
      <c r="E37" s="379">
        <v>27900</v>
      </c>
      <c r="F37" s="379">
        <v>27580</v>
      </c>
      <c r="G37" s="379">
        <v>27680</v>
      </c>
      <c r="H37" s="379">
        <v>27990</v>
      </c>
      <c r="I37" s="379">
        <v>27520</v>
      </c>
      <c r="J37" s="379">
        <v>27880</v>
      </c>
      <c r="K37" s="379">
        <v>27450</v>
      </c>
      <c r="L37" s="379">
        <v>26200</v>
      </c>
      <c r="M37" s="379">
        <v>25080</v>
      </c>
      <c r="N37" s="379">
        <v>24300</v>
      </c>
      <c r="O37" s="379">
        <v>23610</v>
      </c>
      <c r="P37" s="379">
        <v>23550</v>
      </c>
      <c r="Q37" s="379">
        <v>23280</v>
      </c>
      <c r="R37" s="379">
        <v>24030</v>
      </c>
      <c r="S37" s="379">
        <v>24810</v>
      </c>
      <c r="T37" s="379">
        <v>25660</v>
      </c>
      <c r="U37" s="379">
        <v>26590</v>
      </c>
      <c r="V37" s="379">
        <v>27760</v>
      </c>
      <c r="W37" s="379">
        <v>28130</v>
      </c>
      <c r="X37" s="379">
        <v>28660</v>
      </c>
      <c r="Y37" s="379">
        <v>29460</v>
      </c>
      <c r="Z37" s="379">
        <v>30360</v>
      </c>
      <c r="AA37" s="379">
        <v>31890</v>
      </c>
      <c r="AB37" s="379">
        <v>33060</v>
      </c>
      <c r="AC37" s="379">
        <v>34370</v>
      </c>
      <c r="AD37" s="379">
        <v>35710</v>
      </c>
      <c r="AE37" s="379">
        <v>35110</v>
      </c>
      <c r="AF37" s="379">
        <v>35020</v>
      </c>
      <c r="AG37" s="379">
        <v>34640</v>
      </c>
      <c r="AH37" s="379">
        <v>34710</v>
      </c>
      <c r="AI37" s="379">
        <v>34310</v>
      </c>
      <c r="AJ37" s="379">
        <v>33180</v>
      </c>
      <c r="AK37" s="379">
        <v>33250</v>
      </c>
      <c r="AL37" s="379">
        <v>32880</v>
      </c>
      <c r="AM37" s="379">
        <v>33540</v>
      </c>
      <c r="AN37" s="379">
        <v>32990</v>
      </c>
      <c r="AO37" s="379">
        <v>31740</v>
      </c>
      <c r="AP37" s="379">
        <v>32130</v>
      </c>
      <c r="AQ37" s="379">
        <v>32760</v>
      </c>
      <c r="AR37" s="379">
        <v>32570</v>
      </c>
      <c r="AS37" s="379">
        <v>33060</v>
      </c>
      <c r="AT37" s="379">
        <v>34270</v>
      </c>
      <c r="AU37" s="379">
        <v>35360</v>
      </c>
      <c r="AV37" s="379">
        <v>35090</v>
      </c>
      <c r="AW37" s="379">
        <v>34960</v>
      </c>
      <c r="AX37" s="379">
        <v>34450</v>
      </c>
      <c r="AY37" s="379">
        <v>33750</v>
      </c>
      <c r="AZ37" s="379">
        <v>33770</v>
      </c>
      <c r="BA37" s="379">
        <v>33860</v>
      </c>
      <c r="BB37" s="379">
        <v>34000</v>
      </c>
      <c r="BC37" s="379">
        <v>34170</v>
      </c>
      <c r="BD37" s="379">
        <v>34360</v>
      </c>
      <c r="BE37" s="379">
        <v>34550</v>
      </c>
      <c r="BF37" s="379">
        <v>34730</v>
      </c>
    </row>
    <row r="38" spans="1:58" x14ac:dyDescent="0.2">
      <c r="A38" s="380" t="s">
        <v>48</v>
      </c>
      <c r="B38" s="238"/>
      <c r="C38" s="379">
        <v>29700</v>
      </c>
      <c r="D38" s="379">
        <v>29410</v>
      </c>
      <c r="E38" s="379">
        <v>28260</v>
      </c>
      <c r="F38" s="379">
        <v>27870</v>
      </c>
      <c r="G38" s="379">
        <v>27520</v>
      </c>
      <c r="H38" s="379">
        <v>27570</v>
      </c>
      <c r="I38" s="379">
        <v>27840</v>
      </c>
      <c r="J38" s="379">
        <v>27390</v>
      </c>
      <c r="K38" s="379">
        <v>27790</v>
      </c>
      <c r="L38" s="379">
        <v>27380</v>
      </c>
      <c r="M38" s="379">
        <v>26130</v>
      </c>
      <c r="N38" s="379">
        <v>25010</v>
      </c>
      <c r="O38" s="379">
        <v>24230</v>
      </c>
      <c r="P38" s="379">
        <v>23540</v>
      </c>
      <c r="Q38" s="379">
        <v>23490</v>
      </c>
      <c r="R38" s="379">
        <v>23220</v>
      </c>
      <c r="S38" s="379">
        <v>23960</v>
      </c>
      <c r="T38" s="379">
        <v>24750</v>
      </c>
      <c r="U38" s="379">
        <v>25600</v>
      </c>
      <c r="V38" s="379">
        <v>26530</v>
      </c>
      <c r="W38" s="379">
        <v>27690</v>
      </c>
      <c r="X38" s="379">
        <v>28070</v>
      </c>
      <c r="Y38" s="379">
        <v>28600</v>
      </c>
      <c r="Z38" s="379">
        <v>29400</v>
      </c>
      <c r="AA38" s="379">
        <v>30300</v>
      </c>
      <c r="AB38" s="379">
        <v>31830</v>
      </c>
      <c r="AC38" s="379">
        <v>33000</v>
      </c>
      <c r="AD38" s="379">
        <v>34300</v>
      </c>
      <c r="AE38" s="379">
        <v>35640</v>
      </c>
      <c r="AF38" s="379">
        <v>35040</v>
      </c>
      <c r="AG38" s="379">
        <v>34950</v>
      </c>
      <c r="AH38" s="379">
        <v>34580</v>
      </c>
      <c r="AI38" s="379">
        <v>34650</v>
      </c>
      <c r="AJ38" s="379">
        <v>34250</v>
      </c>
      <c r="AK38" s="379">
        <v>33120</v>
      </c>
      <c r="AL38" s="379">
        <v>33190</v>
      </c>
      <c r="AM38" s="379">
        <v>32820</v>
      </c>
      <c r="AN38" s="379">
        <v>33480</v>
      </c>
      <c r="AO38" s="379">
        <v>32930</v>
      </c>
      <c r="AP38" s="379">
        <v>31690</v>
      </c>
      <c r="AQ38" s="379">
        <v>32080</v>
      </c>
      <c r="AR38" s="379">
        <v>32700</v>
      </c>
      <c r="AS38" s="379">
        <v>32520</v>
      </c>
      <c r="AT38" s="379">
        <v>33000</v>
      </c>
      <c r="AU38" s="379">
        <v>34220</v>
      </c>
      <c r="AV38" s="379">
        <v>35300</v>
      </c>
      <c r="AW38" s="379">
        <v>35030</v>
      </c>
      <c r="AX38" s="379">
        <v>34900</v>
      </c>
      <c r="AY38" s="379">
        <v>34400</v>
      </c>
      <c r="AZ38" s="379">
        <v>33700</v>
      </c>
      <c r="BA38" s="379">
        <v>33720</v>
      </c>
      <c r="BB38" s="379">
        <v>33810</v>
      </c>
      <c r="BC38" s="379">
        <v>33940</v>
      </c>
      <c r="BD38" s="379">
        <v>34120</v>
      </c>
      <c r="BE38" s="379">
        <v>34310</v>
      </c>
      <c r="BF38" s="379">
        <v>34490</v>
      </c>
    </row>
    <row r="39" spans="1:58" x14ac:dyDescent="0.2">
      <c r="A39" s="380" t="s">
        <v>49</v>
      </c>
      <c r="B39" s="238"/>
      <c r="C39" s="379">
        <v>29860</v>
      </c>
      <c r="D39" s="379">
        <v>29710</v>
      </c>
      <c r="E39" s="379">
        <v>29310</v>
      </c>
      <c r="F39" s="379">
        <v>28210</v>
      </c>
      <c r="G39" s="379">
        <v>27850</v>
      </c>
      <c r="H39" s="379">
        <v>27390</v>
      </c>
      <c r="I39" s="379">
        <v>27410</v>
      </c>
      <c r="J39" s="379">
        <v>27700</v>
      </c>
      <c r="K39" s="379">
        <v>27280</v>
      </c>
      <c r="L39" s="379">
        <v>27700</v>
      </c>
      <c r="M39" s="379">
        <v>27290</v>
      </c>
      <c r="N39" s="379">
        <v>26050</v>
      </c>
      <c r="O39" s="379">
        <v>24940</v>
      </c>
      <c r="P39" s="379">
        <v>24160</v>
      </c>
      <c r="Q39" s="379">
        <v>23470</v>
      </c>
      <c r="R39" s="379">
        <v>23410</v>
      </c>
      <c r="S39" s="379">
        <v>23150</v>
      </c>
      <c r="T39" s="379">
        <v>23890</v>
      </c>
      <c r="U39" s="379">
        <v>24680</v>
      </c>
      <c r="V39" s="379">
        <v>25530</v>
      </c>
      <c r="W39" s="379">
        <v>26460</v>
      </c>
      <c r="X39" s="379">
        <v>27620</v>
      </c>
      <c r="Y39" s="379">
        <v>28000</v>
      </c>
      <c r="Z39" s="379">
        <v>28530</v>
      </c>
      <c r="AA39" s="379">
        <v>29320</v>
      </c>
      <c r="AB39" s="379">
        <v>30220</v>
      </c>
      <c r="AC39" s="379">
        <v>31750</v>
      </c>
      <c r="AD39" s="379">
        <v>32920</v>
      </c>
      <c r="AE39" s="379">
        <v>34220</v>
      </c>
      <c r="AF39" s="379">
        <v>35560</v>
      </c>
      <c r="AG39" s="379">
        <v>34970</v>
      </c>
      <c r="AH39" s="379">
        <v>34880</v>
      </c>
      <c r="AI39" s="379">
        <v>34510</v>
      </c>
      <c r="AJ39" s="379">
        <v>34580</v>
      </c>
      <c r="AK39" s="379">
        <v>34180</v>
      </c>
      <c r="AL39" s="379">
        <v>33050</v>
      </c>
      <c r="AM39" s="379">
        <v>33120</v>
      </c>
      <c r="AN39" s="379">
        <v>32750</v>
      </c>
      <c r="AO39" s="379">
        <v>33410</v>
      </c>
      <c r="AP39" s="379">
        <v>32860</v>
      </c>
      <c r="AQ39" s="379">
        <v>31620</v>
      </c>
      <c r="AR39" s="379">
        <v>32010</v>
      </c>
      <c r="AS39" s="379">
        <v>32640</v>
      </c>
      <c r="AT39" s="379">
        <v>32450</v>
      </c>
      <c r="AU39" s="379">
        <v>32930</v>
      </c>
      <c r="AV39" s="379">
        <v>34150</v>
      </c>
      <c r="AW39" s="379">
        <v>35240</v>
      </c>
      <c r="AX39" s="379">
        <v>34970</v>
      </c>
      <c r="AY39" s="379">
        <v>34830</v>
      </c>
      <c r="AZ39" s="379">
        <v>34330</v>
      </c>
      <c r="BA39" s="379">
        <v>33630</v>
      </c>
      <c r="BB39" s="379">
        <v>33660</v>
      </c>
      <c r="BC39" s="379">
        <v>33740</v>
      </c>
      <c r="BD39" s="379">
        <v>33880</v>
      </c>
      <c r="BE39" s="379">
        <v>34060</v>
      </c>
      <c r="BF39" s="379">
        <v>34240</v>
      </c>
    </row>
    <row r="40" spans="1:58" x14ac:dyDescent="0.2">
      <c r="A40" s="380" t="s">
        <v>50</v>
      </c>
      <c r="B40" s="238"/>
      <c r="C40" s="379">
        <v>29280</v>
      </c>
      <c r="D40" s="379">
        <v>29850</v>
      </c>
      <c r="E40" s="379">
        <v>29640</v>
      </c>
      <c r="F40" s="379">
        <v>29260</v>
      </c>
      <c r="G40" s="379">
        <v>28150</v>
      </c>
      <c r="H40" s="379">
        <v>27740</v>
      </c>
      <c r="I40" s="379">
        <v>27220</v>
      </c>
      <c r="J40" s="379">
        <v>27260</v>
      </c>
      <c r="K40" s="379">
        <v>27580</v>
      </c>
      <c r="L40" s="379">
        <v>27180</v>
      </c>
      <c r="M40" s="379">
        <v>27610</v>
      </c>
      <c r="N40" s="379">
        <v>27200</v>
      </c>
      <c r="O40" s="379">
        <v>25960</v>
      </c>
      <c r="P40" s="379">
        <v>24850</v>
      </c>
      <c r="Q40" s="379">
        <v>24070</v>
      </c>
      <c r="R40" s="379">
        <v>23390</v>
      </c>
      <c r="S40" s="379">
        <v>23330</v>
      </c>
      <c r="T40" s="379">
        <v>23070</v>
      </c>
      <c r="U40" s="379">
        <v>23810</v>
      </c>
      <c r="V40" s="379">
        <v>24590</v>
      </c>
      <c r="W40" s="379">
        <v>25440</v>
      </c>
      <c r="X40" s="379">
        <v>26370</v>
      </c>
      <c r="Y40" s="379">
        <v>27530</v>
      </c>
      <c r="Z40" s="379">
        <v>27910</v>
      </c>
      <c r="AA40" s="379">
        <v>28440</v>
      </c>
      <c r="AB40" s="379">
        <v>29240</v>
      </c>
      <c r="AC40" s="379">
        <v>30140</v>
      </c>
      <c r="AD40" s="379">
        <v>31670</v>
      </c>
      <c r="AE40" s="379">
        <v>32840</v>
      </c>
      <c r="AF40" s="379">
        <v>34140</v>
      </c>
      <c r="AG40" s="379">
        <v>35480</v>
      </c>
      <c r="AH40" s="379">
        <v>34880</v>
      </c>
      <c r="AI40" s="379">
        <v>34790</v>
      </c>
      <c r="AJ40" s="379">
        <v>34420</v>
      </c>
      <c r="AK40" s="379">
        <v>34490</v>
      </c>
      <c r="AL40" s="379">
        <v>34100</v>
      </c>
      <c r="AM40" s="379">
        <v>32970</v>
      </c>
      <c r="AN40" s="379">
        <v>33040</v>
      </c>
      <c r="AO40" s="379">
        <v>32670</v>
      </c>
      <c r="AP40" s="379">
        <v>33330</v>
      </c>
      <c r="AQ40" s="379">
        <v>32780</v>
      </c>
      <c r="AR40" s="379">
        <v>31540</v>
      </c>
      <c r="AS40" s="379">
        <v>31930</v>
      </c>
      <c r="AT40" s="379">
        <v>32560</v>
      </c>
      <c r="AU40" s="379">
        <v>32370</v>
      </c>
      <c r="AV40" s="379">
        <v>32860</v>
      </c>
      <c r="AW40" s="379">
        <v>34070</v>
      </c>
      <c r="AX40" s="379">
        <v>35160</v>
      </c>
      <c r="AY40" s="379">
        <v>34890</v>
      </c>
      <c r="AZ40" s="379">
        <v>34760</v>
      </c>
      <c r="BA40" s="379">
        <v>34260</v>
      </c>
      <c r="BB40" s="379">
        <v>33560</v>
      </c>
      <c r="BC40" s="379">
        <v>33580</v>
      </c>
      <c r="BD40" s="379">
        <v>33670</v>
      </c>
      <c r="BE40" s="379">
        <v>33810</v>
      </c>
      <c r="BF40" s="379">
        <v>33980</v>
      </c>
    </row>
    <row r="41" spans="1:58" x14ac:dyDescent="0.2">
      <c r="A41" s="380" t="s">
        <v>51</v>
      </c>
      <c r="B41" s="238"/>
      <c r="C41" s="379">
        <v>28410</v>
      </c>
      <c r="D41" s="379">
        <v>29210</v>
      </c>
      <c r="E41" s="379">
        <v>29740</v>
      </c>
      <c r="F41" s="379">
        <v>29580</v>
      </c>
      <c r="G41" s="379">
        <v>29150</v>
      </c>
      <c r="H41" s="379">
        <v>28020</v>
      </c>
      <c r="I41" s="379">
        <v>27570</v>
      </c>
      <c r="J41" s="379">
        <v>27060</v>
      </c>
      <c r="K41" s="379">
        <v>27130</v>
      </c>
      <c r="L41" s="379">
        <v>27470</v>
      </c>
      <c r="M41" s="379">
        <v>27080</v>
      </c>
      <c r="N41" s="379">
        <v>27510</v>
      </c>
      <c r="O41" s="379">
        <v>27100</v>
      </c>
      <c r="P41" s="379">
        <v>25860</v>
      </c>
      <c r="Q41" s="379">
        <v>24750</v>
      </c>
      <c r="R41" s="379">
        <v>23980</v>
      </c>
      <c r="S41" s="379">
        <v>23290</v>
      </c>
      <c r="T41" s="379">
        <v>23240</v>
      </c>
      <c r="U41" s="379">
        <v>22970</v>
      </c>
      <c r="V41" s="379">
        <v>23720</v>
      </c>
      <c r="W41" s="379">
        <v>24500</v>
      </c>
      <c r="X41" s="379">
        <v>25350</v>
      </c>
      <c r="Y41" s="379">
        <v>26280</v>
      </c>
      <c r="Z41" s="379">
        <v>27440</v>
      </c>
      <c r="AA41" s="379">
        <v>27820</v>
      </c>
      <c r="AB41" s="379">
        <v>28350</v>
      </c>
      <c r="AC41" s="379">
        <v>29140</v>
      </c>
      <c r="AD41" s="379">
        <v>30050</v>
      </c>
      <c r="AE41" s="379">
        <v>31570</v>
      </c>
      <c r="AF41" s="379">
        <v>32740</v>
      </c>
      <c r="AG41" s="379">
        <v>34040</v>
      </c>
      <c r="AH41" s="379">
        <v>35380</v>
      </c>
      <c r="AI41" s="379">
        <v>34780</v>
      </c>
      <c r="AJ41" s="379">
        <v>34700</v>
      </c>
      <c r="AK41" s="379">
        <v>34330</v>
      </c>
      <c r="AL41" s="379">
        <v>34400</v>
      </c>
      <c r="AM41" s="379">
        <v>34000</v>
      </c>
      <c r="AN41" s="379">
        <v>32880</v>
      </c>
      <c r="AO41" s="379">
        <v>32950</v>
      </c>
      <c r="AP41" s="379">
        <v>32580</v>
      </c>
      <c r="AQ41" s="379">
        <v>33240</v>
      </c>
      <c r="AR41" s="379">
        <v>32690</v>
      </c>
      <c r="AS41" s="379">
        <v>31460</v>
      </c>
      <c r="AT41" s="379">
        <v>31850</v>
      </c>
      <c r="AU41" s="379">
        <v>32470</v>
      </c>
      <c r="AV41" s="379">
        <v>32290</v>
      </c>
      <c r="AW41" s="379">
        <v>32770</v>
      </c>
      <c r="AX41" s="379">
        <v>33990</v>
      </c>
      <c r="AY41" s="379">
        <v>35070</v>
      </c>
      <c r="AZ41" s="379">
        <v>34810</v>
      </c>
      <c r="BA41" s="379">
        <v>34680</v>
      </c>
      <c r="BB41" s="379">
        <v>34170</v>
      </c>
      <c r="BC41" s="379">
        <v>33480</v>
      </c>
      <c r="BD41" s="379">
        <v>33500</v>
      </c>
      <c r="BE41" s="379">
        <v>33590</v>
      </c>
      <c r="BF41" s="379">
        <v>33730</v>
      </c>
    </row>
    <row r="42" spans="1:58" x14ac:dyDescent="0.2">
      <c r="A42" s="380" t="s">
        <v>52</v>
      </c>
      <c r="B42" s="238"/>
      <c r="C42" s="379">
        <v>27970</v>
      </c>
      <c r="D42" s="379">
        <v>28320</v>
      </c>
      <c r="E42" s="379">
        <v>29110</v>
      </c>
      <c r="F42" s="379">
        <v>29630</v>
      </c>
      <c r="G42" s="379">
        <v>29450</v>
      </c>
      <c r="H42" s="379">
        <v>29000</v>
      </c>
      <c r="I42" s="379">
        <v>27840</v>
      </c>
      <c r="J42" s="379">
        <v>27400</v>
      </c>
      <c r="K42" s="379">
        <v>26930</v>
      </c>
      <c r="L42" s="379">
        <v>27020</v>
      </c>
      <c r="M42" s="379">
        <v>27350</v>
      </c>
      <c r="N42" s="379">
        <v>26960</v>
      </c>
      <c r="O42" s="379">
        <v>27390</v>
      </c>
      <c r="P42" s="379">
        <v>26990</v>
      </c>
      <c r="Q42" s="379">
        <v>25750</v>
      </c>
      <c r="R42" s="379">
        <v>24640</v>
      </c>
      <c r="S42" s="379">
        <v>23870</v>
      </c>
      <c r="T42" s="379">
        <v>23190</v>
      </c>
      <c r="U42" s="379">
        <v>23140</v>
      </c>
      <c r="V42" s="379">
        <v>22870</v>
      </c>
      <c r="W42" s="379">
        <v>23620</v>
      </c>
      <c r="X42" s="379">
        <v>24400</v>
      </c>
      <c r="Y42" s="379">
        <v>25250</v>
      </c>
      <c r="Z42" s="379">
        <v>26180</v>
      </c>
      <c r="AA42" s="379">
        <v>27340</v>
      </c>
      <c r="AB42" s="379">
        <v>27710</v>
      </c>
      <c r="AC42" s="379">
        <v>28250</v>
      </c>
      <c r="AD42" s="379">
        <v>29040</v>
      </c>
      <c r="AE42" s="379">
        <v>29940</v>
      </c>
      <c r="AF42" s="379">
        <v>31470</v>
      </c>
      <c r="AG42" s="379">
        <v>32640</v>
      </c>
      <c r="AH42" s="379">
        <v>33940</v>
      </c>
      <c r="AI42" s="379">
        <v>35270</v>
      </c>
      <c r="AJ42" s="379">
        <v>34680</v>
      </c>
      <c r="AK42" s="379">
        <v>34600</v>
      </c>
      <c r="AL42" s="379">
        <v>34230</v>
      </c>
      <c r="AM42" s="379">
        <v>34300</v>
      </c>
      <c r="AN42" s="379">
        <v>33900</v>
      </c>
      <c r="AO42" s="379">
        <v>32780</v>
      </c>
      <c r="AP42" s="379">
        <v>32860</v>
      </c>
      <c r="AQ42" s="379">
        <v>32480</v>
      </c>
      <c r="AR42" s="379">
        <v>33150</v>
      </c>
      <c r="AS42" s="379">
        <v>32600</v>
      </c>
      <c r="AT42" s="379">
        <v>31360</v>
      </c>
      <c r="AU42" s="379">
        <v>31750</v>
      </c>
      <c r="AV42" s="379">
        <v>32380</v>
      </c>
      <c r="AW42" s="379">
        <v>32200</v>
      </c>
      <c r="AX42" s="379">
        <v>32680</v>
      </c>
      <c r="AY42" s="379">
        <v>33900</v>
      </c>
      <c r="AZ42" s="379">
        <v>34980</v>
      </c>
      <c r="BA42" s="379">
        <v>34710</v>
      </c>
      <c r="BB42" s="379">
        <v>34580</v>
      </c>
      <c r="BC42" s="379">
        <v>34080</v>
      </c>
      <c r="BD42" s="379">
        <v>33390</v>
      </c>
      <c r="BE42" s="379">
        <v>33410</v>
      </c>
      <c r="BF42" s="379">
        <v>33500</v>
      </c>
    </row>
    <row r="43" spans="1:58" x14ac:dyDescent="0.2">
      <c r="A43" s="380" t="s">
        <v>53</v>
      </c>
      <c r="B43" s="238"/>
      <c r="C43" s="379">
        <v>26550</v>
      </c>
      <c r="D43" s="379">
        <v>27830</v>
      </c>
      <c r="E43" s="379">
        <v>28110</v>
      </c>
      <c r="F43" s="379">
        <v>28980</v>
      </c>
      <c r="G43" s="379">
        <v>29450</v>
      </c>
      <c r="H43" s="379">
        <v>29190</v>
      </c>
      <c r="I43" s="379">
        <v>28740</v>
      </c>
      <c r="J43" s="379">
        <v>27600</v>
      </c>
      <c r="K43" s="379">
        <v>27190</v>
      </c>
      <c r="L43" s="379">
        <v>26740</v>
      </c>
      <c r="M43" s="379">
        <v>26830</v>
      </c>
      <c r="N43" s="379">
        <v>27170</v>
      </c>
      <c r="O43" s="379">
        <v>26780</v>
      </c>
      <c r="P43" s="379">
        <v>27210</v>
      </c>
      <c r="Q43" s="379">
        <v>26810</v>
      </c>
      <c r="R43" s="379">
        <v>25580</v>
      </c>
      <c r="S43" s="379">
        <v>24480</v>
      </c>
      <c r="T43" s="379">
        <v>23710</v>
      </c>
      <c r="U43" s="379">
        <v>23030</v>
      </c>
      <c r="V43" s="379">
        <v>22980</v>
      </c>
      <c r="W43" s="379">
        <v>22720</v>
      </c>
      <c r="X43" s="379">
        <v>23460</v>
      </c>
      <c r="Y43" s="379">
        <v>24240</v>
      </c>
      <c r="Z43" s="379">
        <v>25090</v>
      </c>
      <c r="AA43" s="379">
        <v>26010</v>
      </c>
      <c r="AB43" s="379">
        <v>27170</v>
      </c>
      <c r="AC43" s="379">
        <v>27550</v>
      </c>
      <c r="AD43" s="379">
        <v>28080</v>
      </c>
      <c r="AE43" s="379">
        <v>28870</v>
      </c>
      <c r="AF43" s="379">
        <v>29770</v>
      </c>
      <c r="AG43" s="379">
        <v>31290</v>
      </c>
      <c r="AH43" s="379">
        <v>32460</v>
      </c>
      <c r="AI43" s="379">
        <v>33750</v>
      </c>
      <c r="AJ43" s="379">
        <v>35080</v>
      </c>
      <c r="AK43" s="379">
        <v>34490</v>
      </c>
      <c r="AL43" s="379">
        <v>34410</v>
      </c>
      <c r="AM43" s="379">
        <v>34040</v>
      </c>
      <c r="AN43" s="379">
        <v>34120</v>
      </c>
      <c r="AO43" s="379">
        <v>33730</v>
      </c>
      <c r="AP43" s="379">
        <v>32610</v>
      </c>
      <c r="AQ43" s="379">
        <v>32680</v>
      </c>
      <c r="AR43" s="379">
        <v>32310</v>
      </c>
      <c r="AS43" s="379">
        <v>32970</v>
      </c>
      <c r="AT43" s="379">
        <v>32430</v>
      </c>
      <c r="AU43" s="379">
        <v>31200</v>
      </c>
      <c r="AV43" s="379">
        <v>31590</v>
      </c>
      <c r="AW43" s="379">
        <v>32210</v>
      </c>
      <c r="AX43" s="379">
        <v>32030</v>
      </c>
      <c r="AY43" s="379">
        <v>32510</v>
      </c>
      <c r="AZ43" s="379">
        <v>33720</v>
      </c>
      <c r="BA43" s="379">
        <v>34810</v>
      </c>
      <c r="BB43" s="379">
        <v>34540</v>
      </c>
      <c r="BC43" s="379">
        <v>34410</v>
      </c>
      <c r="BD43" s="379">
        <v>33910</v>
      </c>
      <c r="BE43" s="379">
        <v>33220</v>
      </c>
      <c r="BF43" s="379">
        <v>33240</v>
      </c>
    </row>
    <row r="44" spans="1:58" x14ac:dyDescent="0.2">
      <c r="A44" s="380" t="s">
        <v>54</v>
      </c>
      <c r="B44" s="238"/>
      <c r="C44" s="379">
        <v>26270</v>
      </c>
      <c r="D44" s="379">
        <v>26370</v>
      </c>
      <c r="E44" s="379">
        <v>27580</v>
      </c>
      <c r="F44" s="379">
        <v>27920</v>
      </c>
      <c r="G44" s="379">
        <v>28790</v>
      </c>
      <c r="H44" s="379">
        <v>29190</v>
      </c>
      <c r="I44" s="379">
        <v>28900</v>
      </c>
      <c r="J44" s="379">
        <v>28470</v>
      </c>
      <c r="K44" s="379">
        <v>27360</v>
      </c>
      <c r="L44" s="379">
        <v>26970</v>
      </c>
      <c r="M44" s="379">
        <v>26520</v>
      </c>
      <c r="N44" s="379">
        <v>26620</v>
      </c>
      <c r="O44" s="379">
        <v>26950</v>
      </c>
      <c r="P44" s="379">
        <v>26570</v>
      </c>
      <c r="Q44" s="379">
        <v>27000</v>
      </c>
      <c r="R44" s="379">
        <v>26600</v>
      </c>
      <c r="S44" s="379">
        <v>25370</v>
      </c>
      <c r="T44" s="379">
        <v>24280</v>
      </c>
      <c r="U44" s="379">
        <v>23520</v>
      </c>
      <c r="V44" s="379">
        <v>22840</v>
      </c>
      <c r="W44" s="379">
        <v>22790</v>
      </c>
      <c r="X44" s="379">
        <v>22530</v>
      </c>
      <c r="Y44" s="379">
        <v>23270</v>
      </c>
      <c r="Z44" s="379">
        <v>24050</v>
      </c>
      <c r="AA44" s="379">
        <v>24890</v>
      </c>
      <c r="AB44" s="379">
        <v>25820</v>
      </c>
      <c r="AC44" s="379">
        <v>26970</v>
      </c>
      <c r="AD44" s="379">
        <v>27340</v>
      </c>
      <c r="AE44" s="379">
        <v>27870</v>
      </c>
      <c r="AF44" s="379">
        <v>28660</v>
      </c>
      <c r="AG44" s="379">
        <v>29560</v>
      </c>
      <c r="AH44" s="379">
        <v>31080</v>
      </c>
      <c r="AI44" s="379">
        <v>32240</v>
      </c>
      <c r="AJ44" s="379">
        <v>33530</v>
      </c>
      <c r="AK44" s="379">
        <v>34860</v>
      </c>
      <c r="AL44" s="379">
        <v>34270</v>
      </c>
      <c r="AM44" s="379">
        <v>34190</v>
      </c>
      <c r="AN44" s="379">
        <v>33820</v>
      </c>
      <c r="AO44" s="379">
        <v>33900</v>
      </c>
      <c r="AP44" s="379">
        <v>33510</v>
      </c>
      <c r="AQ44" s="379">
        <v>32390</v>
      </c>
      <c r="AR44" s="379">
        <v>32470</v>
      </c>
      <c r="AS44" s="379">
        <v>32100</v>
      </c>
      <c r="AT44" s="379">
        <v>32760</v>
      </c>
      <c r="AU44" s="379">
        <v>32220</v>
      </c>
      <c r="AV44" s="379">
        <v>30990</v>
      </c>
      <c r="AW44" s="379">
        <v>31380</v>
      </c>
      <c r="AX44" s="379">
        <v>32000</v>
      </c>
      <c r="AY44" s="379">
        <v>31820</v>
      </c>
      <c r="AZ44" s="379">
        <v>32310</v>
      </c>
      <c r="BA44" s="379">
        <v>33510</v>
      </c>
      <c r="BB44" s="379">
        <v>34590</v>
      </c>
      <c r="BC44" s="379">
        <v>34330</v>
      </c>
      <c r="BD44" s="379">
        <v>34200</v>
      </c>
      <c r="BE44" s="379">
        <v>33700</v>
      </c>
      <c r="BF44" s="379">
        <v>33010</v>
      </c>
    </row>
    <row r="45" spans="1:58" x14ac:dyDescent="0.2">
      <c r="A45" s="380" t="s">
        <v>55</v>
      </c>
      <c r="B45" s="238"/>
      <c r="C45" s="379">
        <v>25530</v>
      </c>
      <c r="D45" s="379">
        <v>26020</v>
      </c>
      <c r="E45" s="379">
        <v>26060</v>
      </c>
      <c r="F45" s="379">
        <v>27290</v>
      </c>
      <c r="G45" s="379">
        <v>27640</v>
      </c>
      <c r="H45" s="379">
        <v>28450</v>
      </c>
      <c r="I45" s="379">
        <v>28830</v>
      </c>
      <c r="J45" s="379">
        <v>28550</v>
      </c>
      <c r="K45" s="379">
        <v>28150</v>
      </c>
      <c r="L45" s="379">
        <v>27070</v>
      </c>
      <c r="M45" s="379">
        <v>26690</v>
      </c>
      <c r="N45" s="379">
        <v>26250</v>
      </c>
      <c r="O45" s="379">
        <v>26340</v>
      </c>
      <c r="P45" s="379">
        <v>26680</v>
      </c>
      <c r="Q45" s="379">
        <v>26300</v>
      </c>
      <c r="R45" s="379">
        <v>26720</v>
      </c>
      <c r="S45" s="379">
        <v>26330</v>
      </c>
      <c r="T45" s="379">
        <v>25110</v>
      </c>
      <c r="U45" s="379">
        <v>24030</v>
      </c>
      <c r="V45" s="379">
        <v>23270</v>
      </c>
      <c r="W45" s="379">
        <v>22600</v>
      </c>
      <c r="X45" s="379">
        <v>22550</v>
      </c>
      <c r="Y45" s="379">
        <v>22300</v>
      </c>
      <c r="Z45" s="379">
        <v>23030</v>
      </c>
      <c r="AA45" s="379">
        <v>23800</v>
      </c>
      <c r="AB45" s="379">
        <v>24640</v>
      </c>
      <c r="AC45" s="379">
        <v>25560</v>
      </c>
      <c r="AD45" s="379">
        <v>26710</v>
      </c>
      <c r="AE45" s="379">
        <v>27080</v>
      </c>
      <c r="AF45" s="379">
        <v>27610</v>
      </c>
      <c r="AG45" s="379">
        <v>28390</v>
      </c>
      <c r="AH45" s="379">
        <v>29280</v>
      </c>
      <c r="AI45" s="379">
        <v>30790</v>
      </c>
      <c r="AJ45" s="379">
        <v>31950</v>
      </c>
      <c r="AK45" s="379">
        <v>33230</v>
      </c>
      <c r="AL45" s="379">
        <v>34550</v>
      </c>
      <c r="AM45" s="379">
        <v>33970</v>
      </c>
      <c r="AN45" s="379">
        <v>33890</v>
      </c>
      <c r="AO45" s="379">
        <v>33530</v>
      </c>
      <c r="AP45" s="379">
        <v>33600</v>
      </c>
      <c r="AQ45" s="379">
        <v>33210</v>
      </c>
      <c r="AR45" s="379">
        <v>32110</v>
      </c>
      <c r="AS45" s="379">
        <v>32180</v>
      </c>
      <c r="AT45" s="379">
        <v>31820</v>
      </c>
      <c r="AU45" s="379">
        <v>32480</v>
      </c>
      <c r="AV45" s="379">
        <v>31940</v>
      </c>
      <c r="AW45" s="379">
        <v>30720</v>
      </c>
      <c r="AX45" s="379">
        <v>31110</v>
      </c>
      <c r="AY45" s="379">
        <v>31730</v>
      </c>
      <c r="AZ45" s="379">
        <v>31550</v>
      </c>
      <c r="BA45" s="379">
        <v>32030</v>
      </c>
      <c r="BB45" s="379">
        <v>33230</v>
      </c>
      <c r="BC45" s="379">
        <v>34300</v>
      </c>
      <c r="BD45" s="379">
        <v>34040</v>
      </c>
      <c r="BE45" s="379">
        <v>33910</v>
      </c>
      <c r="BF45" s="379">
        <v>33420</v>
      </c>
    </row>
    <row r="46" spans="1:58" x14ac:dyDescent="0.2">
      <c r="A46" s="380" t="s">
        <v>56</v>
      </c>
      <c r="B46" s="238"/>
      <c r="C46" s="379">
        <v>24300</v>
      </c>
      <c r="D46" s="379">
        <v>25290</v>
      </c>
      <c r="E46" s="379">
        <v>25750</v>
      </c>
      <c r="F46" s="379">
        <v>25790</v>
      </c>
      <c r="G46" s="379">
        <v>27020</v>
      </c>
      <c r="H46" s="379">
        <v>27300</v>
      </c>
      <c r="I46" s="379">
        <v>28100</v>
      </c>
      <c r="J46" s="379">
        <v>28480</v>
      </c>
      <c r="K46" s="379">
        <v>28230</v>
      </c>
      <c r="L46" s="379">
        <v>27850</v>
      </c>
      <c r="M46" s="379">
        <v>26790</v>
      </c>
      <c r="N46" s="379">
        <v>26400</v>
      </c>
      <c r="O46" s="379">
        <v>25970</v>
      </c>
      <c r="P46" s="379">
        <v>26060</v>
      </c>
      <c r="Q46" s="379">
        <v>26400</v>
      </c>
      <c r="R46" s="379">
        <v>26020</v>
      </c>
      <c r="S46" s="379">
        <v>26440</v>
      </c>
      <c r="T46" s="379">
        <v>26050</v>
      </c>
      <c r="U46" s="379">
        <v>24850</v>
      </c>
      <c r="V46" s="379">
        <v>23780</v>
      </c>
      <c r="W46" s="379">
        <v>23030</v>
      </c>
      <c r="X46" s="379">
        <v>22360</v>
      </c>
      <c r="Y46" s="379">
        <v>22310</v>
      </c>
      <c r="Z46" s="379">
        <v>22060</v>
      </c>
      <c r="AA46" s="379">
        <v>22790</v>
      </c>
      <c r="AB46" s="379">
        <v>23560</v>
      </c>
      <c r="AC46" s="379">
        <v>24390</v>
      </c>
      <c r="AD46" s="379">
        <v>25310</v>
      </c>
      <c r="AE46" s="379">
        <v>26440</v>
      </c>
      <c r="AF46" s="379">
        <v>26820</v>
      </c>
      <c r="AG46" s="379">
        <v>27340</v>
      </c>
      <c r="AH46" s="379">
        <v>28120</v>
      </c>
      <c r="AI46" s="379">
        <v>29010</v>
      </c>
      <c r="AJ46" s="379">
        <v>30510</v>
      </c>
      <c r="AK46" s="379">
        <v>31650</v>
      </c>
      <c r="AL46" s="379">
        <v>32930</v>
      </c>
      <c r="AM46" s="379">
        <v>34240</v>
      </c>
      <c r="AN46" s="379">
        <v>33670</v>
      </c>
      <c r="AO46" s="379">
        <v>33590</v>
      </c>
      <c r="AP46" s="379">
        <v>33230</v>
      </c>
      <c r="AQ46" s="379">
        <v>33300</v>
      </c>
      <c r="AR46" s="379">
        <v>32920</v>
      </c>
      <c r="AS46" s="379">
        <v>31820</v>
      </c>
      <c r="AT46" s="379">
        <v>31900</v>
      </c>
      <c r="AU46" s="379">
        <v>31540</v>
      </c>
      <c r="AV46" s="379">
        <v>32190</v>
      </c>
      <c r="AW46" s="379">
        <v>31660</v>
      </c>
      <c r="AX46" s="379">
        <v>30450</v>
      </c>
      <c r="AY46" s="379">
        <v>30830</v>
      </c>
      <c r="AZ46" s="379">
        <v>31450</v>
      </c>
      <c r="BA46" s="379">
        <v>31270</v>
      </c>
      <c r="BB46" s="379">
        <v>31750</v>
      </c>
      <c r="BC46" s="379">
        <v>32940</v>
      </c>
      <c r="BD46" s="379">
        <v>34010</v>
      </c>
      <c r="BE46" s="379">
        <v>33750</v>
      </c>
      <c r="BF46" s="379">
        <v>33630</v>
      </c>
    </row>
    <row r="47" spans="1:58" x14ac:dyDescent="0.2">
      <c r="A47" s="380" t="s">
        <v>57</v>
      </c>
      <c r="B47" s="238"/>
      <c r="C47" s="379">
        <v>23620</v>
      </c>
      <c r="D47" s="379">
        <v>24170</v>
      </c>
      <c r="E47" s="379">
        <v>25100</v>
      </c>
      <c r="F47" s="379">
        <v>25590</v>
      </c>
      <c r="G47" s="379">
        <v>25670</v>
      </c>
      <c r="H47" s="379">
        <v>26840</v>
      </c>
      <c r="I47" s="379">
        <v>27100</v>
      </c>
      <c r="J47" s="379">
        <v>27910</v>
      </c>
      <c r="K47" s="379">
        <v>28310</v>
      </c>
      <c r="L47" s="379">
        <v>28080</v>
      </c>
      <c r="M47" s="379">
        <v>27710</v>
      </c>
      <c r="N47" s="379">
        <v>26640</v>
      </c>
      <c r="O47" s="379">
        <v>26260</v>
      </c>
      <c r="P47" s="379">
        <v>25830</v>
      </c>
      <c r="Q47" s="379">
        <v>25930</v>
      </c>
      <c r="R47" s="379">
        <v>26260</v>
      </c>
      <c r="S47" s="379">
        <v>25890</v>
      </c>
      <c r="T47" s="379">
        <v>26310</v>
      </c>
      <c r="U47" s="379">
        <v>25920</v>
      </c>
      <c r="V47" s="379">
        <v>24730</v>
      </c>
      <c r="W47" s="379">
        <v>23650</v>
      </c>
      <c r="X47" s="379">
        <v>22910</v>
      </c>
      <c r="Y47" s="379">
        <v>22250</v>
      </c>
      <c r="Z47" s="379">
        <v>22200</v>
      </c>
      <c r="AA47" s="379">
        <v>21950</v>
      </c>
      <c r="AB47" s="379">
        <v>22680</v>
      </c>
      <c r="AC47" s="379">
        <v>23440</v>
      </c>
      <c r="AD47" s="379">
        <v>24280</v>
      </c>
      <c r="AE47" s="379">
        <v>25190</v>
      </c>
      <c r="AF47" s="379">
        <v>26330</v>
      </c>
      <c r="AG47" s="379">
        <v>26700</v>
      </c>
      <c r="AH47" s="379">
        <v>27220</v>
      </c>
      <c r="AI47" s="379">
        <v>28010</v>
      </c>
      <c r="AJ47" s="379">
        <v>28890</v>
      </c>
      <c r="AK47" s="379">
        <v>30390</v>
      </c>
      <c r="AL47" s="379">
        <v>31540</v>
      </c>
      <c r="AM47" s="379">
        <v>32810</v>
      </c>
      <c r="AN47" s="379">
        <v>34120</v>
      </c>
      <c r="AO47" s="379">
        <v>33550</v>
      </c>
      <c r="AP47" s="379">
        <v>33470</v>
      </c>
      <c r="AQ47" s="379">
        <v>33110</v>
      </c>
      <c r="AR47" s="379">
        <v>33190</v>
      </c>
      <c r="AS47" s="379">
        <v>32810</v>
      </c>
      <c r="AT47" s="379">
        <v>31710</v>
      </c>
      <c r="AU47" s="379">
        <v>31790</v>
      </c>
      <c r="AV47" s="379">
        <v>31430</v>
      </c>
      <c r="AW47" s="379">
        <v>32080</v>
      </c>
      <c r="AX47" s="379">
        <v>31550</v>
      </c>
      <c r="AY47" s="379">
        <v>30340</v>
      </c>
      <c r="AZ47" s="379">
        <v>30730</v>
      </c>
      <c r="BA47" s="379">
        <v>31350</v>
      </c>
      <c r="BB47" s="379">
        <v>31170</v>
      </c>
      <c r="BC47" s="379">
        <v>31650</v>
      </c>
      <c r="BD47" s="379">
        <v>32840</v>
      </c>
      <c r="BE47" s="379">
        <v>33910</v>
      </c>
      <c r="BF47" s="379">
        <v>33650</v>
      </c>
    </row>
    <row r="48" spans="1:58" x14ac:dyDescent="0.2">
      <c r="A48" s="380" t="s">
        <v>58</v>
      </c>
      <c r="B48" s="238"/>
      <c r="C48" s="379">
        <v>22910</v>
      </c>
      <c r="D48" s="379">
        <v>23440</v>
      </c>
      <c r="E48" s="379">
        <v>23960</v>
      </c>
      <c r="F48" s="379">
        <v>24950</v>
      </c>
      <c r="G48" s="379">
        <v>25450</v>
      </c>
      <c r="H48" s="379">
        <v>25450</v>
      </c>
      <c r="I48" s="379">
        <v>26620</v>
      </c>
      <c r="J48" s="379">
        <v>26890</v>
      </c>
      <c r="K48" s="379">
        <v>27710</v>
      </c>
      <c r="L48" s="379">
        <v>28140</v>
      </c>
      <c r="M48" s="379">
        <v>27910</v>
      </c>
      <c r="N48" s="379">
        <v>27540</v>
      </c>
      <c r="O48" s="379">
        <v>26480</v>
      </c>
      <c r="P48" s="379">
        <v>26100</v>
      </c>
      <c r="Q48" s="379">
        <v>25670</v>
      </c>
      <c r="R48" s="379">
        <v>25770</v>
      </c>
      <c r="S48" s="379">
        <v>26110</v>
      </c>
      <c r="T48" s="379">
        <v>25740</v>
      </c>
      <c r="U48" s="379">
        <v>26160</v>
      </c>
      <c r="V48" s="379">
        <v>25770</v>
      </c>
      <c r="W48" s="379">
        <v>24580</v>
      </c>
      <c r="X48" s="379">
        <v>23510</v>
      </c>
      <c r="Y48" s="379">
        <v>22770</v>
      </c>
      <c r="Z48" s="379">
        <v>22110</v>
      </c>
      <c r="AA48" s="379">
        <v>22070</v>
      </c>
      <c r="AB48" s="379">
        <v>21820</v>
      </c>
      <c r="AC48" s="379">
        <v>22550</v>
      </c>
      <c r="AD48" s="379">
        <v>23310</v>
      </c>
      <c r="AE48" s="379">
        <v>24150</v>
      </c>
      <c r="AF48" s="379">
        <v>25060</v>
      </c>
      <c r="AG48" s="379">
        <v>26190</v>
      </c>
      <c r="AH48" s="379">
        <v>26570</v>
      </c>
      <c r="AI48" s="379">
        <v>27090</v>
      </c>
      <c r="AJ48" s="379">
        <v>27870</v>
      </c>
      <c r="AK48" s="379">
        <v>28750</v>
      </c>
      <c r="AL48" s="379">
        <v>30250</v>
      </c>
      <c r="AM48" s="379">
        <v>31390</v>
      </c>
      <c r="AN48" s="379">
        <v>32670</v>
      </c>
      <c r="AO48" s="379">
        <v>33980</v>
      </c>
      <c r="AP48" s="379">
        <v>33400</v>
      </c>
      <c r="AQ48" s="379">
        <v>33330</v>
      </c>
      <c r="AR48" s="379">
        <v>32970</v>
      </c>
      <c r="AS48" s="379">
        <v>33050</v>
      </c>
      <c r="AT48" s="379">
        <v>32670</v>
      </c>
      <c r="AU48" s="379">
        <v>31580</v>
      </c>
      <c r="AV48" s="379">
        <v>31660</v>
      </c>
      <c r="AW48" s="379">
        <v>31300</v>
      </c>
      <c r="AX48" s="379">
        <v>31950</v>
      </c>
      <c r="AY48" s="379">
        <v>31420</v>
      </c>
      <c r="AZ48" s="379">
        <v>30220</v>
      </c>
      <c r="BA48" s="379">
        <v>30600</v>
      </c>
      <c r="BB48" s="379">
        <v>31220</v>
      </c>
      <c r="BC48" s="379">
        <v>31040</v>
      </c>
      <c r="BD48" s="379">
        <v>31520</v>
      </c>
      <c r="BE48" s="379">
        <v>32710</v>
      </c>
      <c r="BF48" s="379">
        <v>33780</v>
      </c>
    </row>
    <row r="49" spans="1:58" x14ac:dyDescent="0.2">
      <c r="A49" s="380" t="s">
        <v>59</v>
      </c>
      <c r="B49" s="238"/>
      <c r="C49" s="379">
        <v>22480</v>
      </c>
      <c r="D49" s="379">
        <v>22620</v>
      </c>
      <c r="E49" s="379">
        <v>23190</v>
      </c>
      <c r="F49" s="379">
        <v>23710</v>
      </c>
      <c r="G49" s="379">
        <v>24700</v>
      </c>
      <c r="H49" s="379">
        <v>25110</v>
      </c>
      <c r="I49" s="379">
        <v>25120</v>
      </c>
      <c r="J49" s="379">
        <v>26300</v>
      </c>
      <c r="K49" s="379">
        <v>26590</v>
      </c>
      <c r="L49" s="379">
        <v>27430</v>
      </c>
      <c r="M49" s="379">
        <v>27850</v>
      </c>
      <c r="N49" s="379">
        <v>27630</v>
      </c>
      <c r="O49" s="379">
        <v>27260</v>
      </c>
      <c r="P49" s="379">
        <v>26220</v>
      </c>
      <c r="Q49" s="379">
        <v>25850</v>
      </c>
      <c r="R49" s="379">
        <v>25420</v>
      </c>
      <c r="S49" s="379">
        <v>25520</v>
      </c>
      <c r="T49" s="379">
        <v>25860</v>
      </c>
      <c r="U49" s="379">
        <v>25500</v>
      </c>
      <c r="V49" s="379">
        <v>25920</v>
      </c>
      <c r="W49" s="379">
        <v>25540</v>
      </c>
      <c r="X49" s="379">
        <v>24360</v>
      </c>
      <c r="Y49" s="379">
        <v>23300</v>
      </c>
      <c r="Z49" s="379">
        <v>22560</v>
      </c>
      <c r="AA49" s="379">
        <v>21910</v>
      </c>
      <c r="AB49" s="379">
        <v>21870</v>
      </c>
      <c r="AC49" s="379">
        <v>21620</v>
      </c>
      <c r="AD49" s="379">
        <v>22350</v>
      </c>
      <c r="AE49" s="379">
        <v>23110</v>
      </c>
      <c r="AF49" s="379">
        <v>23940</v>
      </c>
      <c r="AG49" s="379">
        <v>24850</v>
      </c>
      <c r="AH49" s="379">
        <v>25980</v>
      </c>
      <c r="AI49" s="379">
        <v>26350</v>
      </c>
      <c r="AJ49" s="379">
        <v>26870</v>
      </c>
      <c r="AK49" s="379">
        <v>27650</v>
      </c>
      <c r="AL49" s="379">
        <v>28530</v>
      </c>
      <c r="AM49" s="379">
        <v>30010</v>
      </c>
      <c r="AN49" s="379">
        <v>31150</v>
      </c>
      <c r="AO49" s="379">
        <v>32420</v>
      </c>
      <c r="AP49" s="379">
        <v>33720</v>
      </c>
      <c r="AQ49" s="379">
        <v>33160</v>
      </c>
      <c r="AR49" s="379">
        <v>33080</v>
      </c>
      <c r="AS49" s="379">
        <v>32730</v>
      </c>
      <c r="AT49" s="379">
        <v>32810</v>
      </c>
      <c r="AU49" s="379">
        <v>32430</v>
      </c>
      <c r="AV49" s="379">
        <v>31350</v>
      </c>
      <c r="AW49" s="379">
        <v>31430</v>
      </c>
      <c r="AX49" s="379">
        <v>31070</v>
      </c>
      <c r="AY49" s="379">
        <v>31720</v>
      </c>
      <c r="AZ49" s="379">
        <v>31190</v>
      </c>
      <c r="BA49" s="379">
        <v>30000</v>
      </c>
      <c r="BB49" s="379">
        <v>30380</v>
      </c>
      <c r="BC49" s="379">
        <v>31000</v>
      </c>
      <c r="BD49" s="379">
        <v>30820</v>
      </c>
      <c r="BE49" s="379">
        <v>31300</v>
      </c>
      <c r="BF49" s="379">
        <v>32490</v>
      </c>
    </row>
    <row r="50" spans="1:58" x14ac:dyDescent="0.2">
      <c r="A50" s="380" t="s">
        <v>60</v>
      </c>
      <c r="B50" s="238"/>
      <c r="C50" s="379">
        <v>21500</v>
      </c>
      <c r="D50" s="379">
        <v>21910</v>
      </c>
      <c r="E50" s="379">
        <v>22020</v>
      </c>
      <c r="F50" s="379">
        <v>22670</v>
      </c>
      <c r="G50" s="379">
        <v>23160</v>
      </c>
      <c r="H50" s="379">
        <v>24080</v>
      </c>
      <c r="I50" s="379">
        <v>24520</v>
      </c>
      <c r="J50" s="379">
        <v>24550</v>
      </c>
      <c r="K50" s="379">
        <v>25740</v>
      </c>
      <c r="L50" s="379">
        <v>26050</v>
      </c>
      <c r="M50" s="379">
        <v>26880</v>
      </c>
      <c r="N50" s="379">
        <v>27310</v>
      </c>
      <c r="O50" s="379">
        <v>27110</v>
      </c>
      <c r="P50" s="379">
        <v>26760</v>
      </c>
      <c r="Q50" s="379">
        <v>25740</v>
      </c>
      <c r="R50" s="379">
        <v>25390</v>
      </c>
      <c r="S50" s="379">
        <v>24980</v>
      </c>
      <c r="T50" s="379">
        <v>25090</v>
      </c>
      <c r="U50" s="379">
        <v>25430</v>
      </c>
      <c r="V50" s="379">
        <v>25080</v>
      </c>
      <c r="W50" s="379">
        <v>25500</v>
      </c>
      <c r="X50" s="379">
        <v>25140</v>
      </c>
      <c r="Y50" s="379">
        <v>23980</v>
      </c>
      <c r="Z50" s="379">
        <v>22940</v>
      </c>
      <c r="AA50" s="379">
        <v>22220</v>
      </c>
      <c r="AB50" s="379">
        <v>21580</v>
      </c>
      <c r="AC50" s="379">
        <v>21540</v>
      </c>
      <c r="AD50" s="379">
        <v>21300</v>
      </c>
      <c r="AE50" s="379">
        <v>22020</v>
      </c>
      <c r="AF50" s="379">
        <v>22770</v>
      </c>
      <c r="AG50" s="379">
        <v>23590</v>
      </c>
      <c r="AH50" s="379">
        <v>24490</v>
      </c>
      <c r="AI50" s="379">
        <v>25600</v>
      </c>
      <c r="AJ50" s="379">
        <v>25970</v>
      </c>
      <c r="AK50" s="379">
        <v>26490</v>
      </c>
      <c r="AL50" s="379">
        <v>27260</v>
      </c>
      <c r="AM50" s="379">
        <v>28130</v>
      </c>
      <c r="AN50" s="379">
        <v>29600</v>
      </c>
      <c r="AO50" s="379">
        <v>30730</v>
      </c>
      <c r="AP50" s="379">
        <v>31980</v>
      </c>
      <c r="AQ50" s="379">
        <v>33270</v>
      </c>
      <c r="AR50" s="379">
        <v>32710</v>
      </c>
      <c r="AS50" s="379">
        <v>32630</v>
      </c>
      <c r="AT50" s="379">
        <v>32290</v>
      </c>
      <c r="AU50" s="379">
        <v>32370</v>
      </c>
      <c r="AV50" s="379">
        <v>32000</v>
      </c>
      <c r="AW50" s="379">
        <v>30930</v>
      </c>
      <c r="AX50" s="379">
        <v>31010</v>
      </c>
      <c r="AY50" s="379">
        <v>30650</v>
      </c>
      <c r="AZ50" s="379">
        <v>31300</v>
      </c>
      <c r="BA50" s="379">
        <v>30780</v>
      </c>
      <c r="BB50" s="379">
        <v>29600</v>
      </c>
      <c r="BC50" s="379">
        <v>29980</v>
      </c>
      <c r="BD50" s="379">
        <v>30590</v>
      </c>
      <c r="BE50" s="379">
        <v>30420</v>
      </c>
      <c r="BF50" s="379">
        <v>30890</v>
      </c>
    </row>
    <row r="51" spans="1:58" x14ac:dyDescent="0.2">
      <c r="A51" s="380" t="s">
        <v>61</v>
      </c>
      <c r="B51" s="238"/>
      <c r="C51" s="379">
        <v>21270</v>
      </c>
      <c r="D51" s="379">
        <v>21180</v>
      </c>
      <c r="E51" s="379">
        <v>21550</v>
      </c>
      <c r="F51" s="379">
        <v>21710</v>
      </c>
      <c r="G51" s="379">
        <v>22370</v>
      </c>
      <c r="H51" s="379">
        <v>22840</v>
      </c>
      <c r="I51" s="379">
        <v>23770</v>
      </c>
      <c r="J51" s="379">
        <v>24220</v>
      </c>
      <c r="K51" s="379">
        <v>24290</v>
      </c>
      <c r="L51" s="379">
        <v>25490</v>
      </c>
      <c r="M51" s="379">
        <v>25820</v>
      </c>
      <c r="N51" s="379">
        <v>26660</v>
      </c>
      <c r="O51" s="379">
        <v>27100</v>
      </c>
      <c r="P51" s="379">
        <v>26910</v>
      </c>
      <c r="Q51" s="379">
        <v>26580</v>
      </c>
      <c r="R51" s="379">
        <v>25580</v>
      </c>
      <c r="S51" s="379">
        <v>25240</v>
      </c>
      <c r="T51" s="379">
        <v>24840</v>
      </c>
      <c r="U51" s="379">
        <v>24960</v>
      </c>
      <c r="V51" s="379">
        <v>25310</v>
      </c>
      <c r="W51" s="379">
        <v>24970</v>
      </c>
      <c r="X51" s="379">
        <v>25390</v>
      </c>
      <c r="Y51" s="379">
        <v>25030</v>
      </c>
      <c r="Z51" s="379">
        <v>23890</v>
      </c>
      <c r="AA51" s="379">
        <v>22860</v>
      </c>
      <c r="AB51" s="379">
        <v>22140</v>
      </c>
      <c r="AC51" s="379">
        <v>21510</v>
      </c>
      <c r="AD51" s="379">
        <v>21470</v>
      </c>
      <c r="AE51" s="379">
        <v>21230</v>
      </c>
      <c r="AF51" s="379">
        <v>21950</v>
      </c>
      <c r="AG51" s="379">
        <v>22710</v>
      </c>
      <c r="AH51" s="379">
        <v>23530</v>
      </c>
      <c r="AI51" s="379">
        <v>24420</v>
      </c>
      <c r="AJ51" s="379">
        <v>25540</v>
      </c>
      <c r="AK51" s="379">
        <v>25910</v>
      </c>
      <c r="AL51" s="379">
        <v>26420</v>
      </c>
      <c r="AM51" s="379">
        <v>27190</v>
      </c>
      <c r="AN51" s="379">
        <v>28060</v>
      </c>
      <c r="AO51" s="379">
        <v>29530</v>
      </c>
      <c r="AP51" s="379">
        <v>30660</v>
      </c>
      <c r="AQ51" s="379">
        <v>31910</v>
      </c>
      <c r="AR51" s="379">
        <v>33190</v>
      </c>
      <c r="AS51" s="379">
        <v>32640</v>
      </c>
      <c r="AT51" s="379">
        <v>32570</v>
      </c>
      <c r="AU51" s="379">
        <v>32220</v>
      </c>
      <c r="AV51" s="379">
        <v>32300</v>
      </c>
      <c r="AW51" s="379">
        <v>31930</v>
      </c>
      <c r="AX51" s="379">
        <v>30870</v>
      </c>
      <c r="AY51" s="379">
        <v>30950</v>
      </c>
      <c r="AZ51" s="379">
        <v>30600</v>
      </c>
      <c r="BA51" s="379">
        <v>31240</v>
      </c>
      <c r="BB51" s="379">
        <v>30720</v>
      </c>
      <c r="BC51" s="379">
        <v>29550</v>
      </c>
      <c r="BD51" s="379">
        <v>29930</v>
      </c>
      <c r="BE51" s="379">
        <v>30540</v>
      </c>
      <c r="BF51" s="379">
        <v>30360</v>
      </c>
    </row>
    <row r="52" spans="1:58" x14ac:dyDescent="0.2">
      <c r="A52" s="380" t="s">
        <v>62</v>
      </c>
      <c r="B52" s="238"/>
      <c r="C52" s="379">
        <v>20730</v>
      </c>
      <c r="D52" s="379">
        <v>20930</v>
      </c>
      <c r="E52" s="379">
        <v>20860</v>
      </c>
      <c r="F52" s="379">
        <v>21250</v>
      </c>
      <c r="G52" s="379">
        <v>21450</v>
      </c>
      <c r="H52" s="379">
        <v>22080</v>
      </c>
      <c r="I52" s="379">
        <v>22560</v>
      </c>
      <c r="J52" s="379">
        <v>23510</v>
      </c>
      <c r="K52" s="379">
        <v>23980</v>
      </c>
      <c r="L52" s="379">
        <v>24080</v>
      </c>
      <c r="M52" s="379">
        <v>25280</v>
      </c>
      <c r="N52" s="379">
        <v>25620</v>
      </c>
      <c r="O52" s="379">
        <v>26470</v>
      </c>
      <c r="P52" s="379">
        <v>26920</v>
      </c>
      <c r="Q52" s="379">
        <v>26740</v>
      </c>
      <c r="R52" s="379">
        <v>26420</v>
      </c>
      <c r="S52" s="379">
        <v>25440</v>
      </c>
      <c r="T52" s="379">
        <v>25110</v>
      </c>
      <c r="U52" s="379">
        <v>24730</v>
      </c>
      <c r="V52" s="379">
        <v>24850</v>
      </c>
      <c r="W52" s="379">
        <v>25200</v>
      </c>
      <c r="X52" s="379">
        <v>24870</v>
      </c>
      <c r="Y52" s="379">
        <v>25310</v>
      </c>
      <c r="Z52" s="379">
        <v>24950</v>
      </c>
      <c r="AA52" s="379">
        <v>23810</v>
      </c>
      <c r="AB52" s="379">
        <v>22790</v>
      </c>
      <c r="AC52" s="379">
        <v>22080</v>
      </c>
      <c r="AD52" s="379">
        <v>21450</v>
      </c>
      <c r="AE52" s="379">
        <v>21420</v>
      </c>
      <c r="AF52" s="379">
        <v>21180</v>
      </c>
      <c r="AG52" s="379">
        <v>21900</v>
      </c>
      <c r="AH52" s="379">
        <v>22650</v>
      </c>
      <c r="AI52" s="379">
        <v>23470</v>
      </c>
      <c r="AJ52" s="379">
        <v>24370</v>
      </c>
      <c r="AK52" s="379">
        <v>25480</v>
      </c>
      <c r="AL52" s="379">
        <v>25850</v>
      </c>
      <c r="AM52" s="379">
        <v>26370</v>
      </c>
      <c r="AN52" s="379">
        <v>27140</v>
      </c>
      <c r="AO52" s="379">
        <v>28000</v>
      </c>
      <c r="AP52" s="379">
        <v>29470</v>
      </c>
      <c r="AQ52" s="379">
        <v>30600</v>
      </c>
      <c r="AR52" s="379">
        <v>31850</v>
      </c>
      <c r="AS52" s="379">
        <v>33130</v>
      </c>
      <c r="AT52" s="379">
        <v>32580</v>
      </c>
      <c r="AU52" s="379">
        <v>32510</v>
      </c>
      <c r="AV52" s="379">
        <v>32170</v>
      </c>
      <c r="AW52" s="379">
        <v>32250</v>
      </c>
      <c r="AX52" s="379">
        <v>31880</v>
      </c>
      <c r="AY52" s="379">
        <v>30820</v>
      </c>
      <c r="AZ52" s="379">
        <v>30900</v>
      </c>
      <c r="BA52" s="379">
        <v>30550</v>
      </c>
      <c r="BB52" s="379">
        <v>31200</v>
      </c>
      <c r="BC52" s="379">
        <v>30680</v>
      </c>
      <c r="BD52" s="379">
        <v>29510</v>
      </c>
      <c r="BE52" s="379">
        <v>29890</v>
      </c>
      <c r="BF52" s="379">
        <v>30500</v>
      </c>
    </row>
    <row r="53" spans="1:58" x14ac:dyDescent="0.2">
      <c r="A53" s="380" t="s">
        <v>63</v>
      </c>
      <c r="B53" s="238"/>
      <c r="C53" s="379">
        <v>20420</v>
      </c>
      <c r="D53" s="379">
        <v>20300</v>
      </c>
      <c r="E53" s="379">
        <v>20520</v>
      </c>
      <c r="F53" s="379">
        <v>20450</v>
      </c>
      <c r="G53" s="379">
        <v>20900</v>
      </c>
      <c r="H53" s="379">
        <v>21070</v>
      </c>
      <c r="I53" s="379">
        <v>21700</v>
      </c>
      <c r="J53" s="379">
        <v>22190</v>
      </c>
      <c r="K53" s="379">
        <v>23160</v>
      </c>
      <c r="L53" s="379">
        <v>23660</v>
      </c>
      <c r="M53" s="379">
        <v>23770</v>
      </c>
      <c r="N53" s="379">
        <v>24970</v>
      </c>
      <c r="O53" s="379">
        <v>25320</v>
      </c>
      <c r="P53" s="379">
        <v>26170</v>
      </c>
      <c r="Q53" s="379">
        <v>26630</v>
      </c>
      <c r="R53" s="379">
        <v>26470</v>
      </c>
      <c r="S53" s="379">
        <v>26170</v>
      </c>
      <c r="T53" s="379">
        <v>25200</v>
      </c>
      <c r="U53" s="379">
        <v>24890</v>
      </c>
      <c r="V53" s="379">
        <v>24520</v>
      </c>
      <c r="W53" s="379">
        <v>24650</v>
      </c>
      <c r="X53" s="379">
        <v>25000</v>
      </c>
      <c r="Y53" s="379">
        <v>24680</v>
      </c>
      <c r="Z53" s="379">
        <v>25120</v>
      </c>
      <c r="AA53" s="379">
        <v>24770</v>
      </c>
      <c r="AB53" s="379">
        <v>23640</v>
      </c>
      <c r="AC53" s="379">
        <v>22630</v>
      </c>
      <c r="AD53" s="379">
        <v>21930</v>
      </c>
      <c r="AE53" s="379">
        <v>21310</v>
      </c>
      <c r="AF53" s="379">
        <v>21270</v>
      </c>
      <c r="AG53" s="379">
        <v>21040</v>
      </c>
      <c r="AH53" s="379">
        <v>21750</v>
      </c>
      <c r="AI53" s="379">
        <v>22500</v>
      </c>
      <c r="AJ53" s="379">
        <v>23320</v>
      </c>
      <c r="AK53" s="379">
        <v>24210</v>
      </c>
      <c r="AL53" s="379">
        <v>25320</v>
      </c>
      <c r="AM53" s="379">
        <v>25690</v>
      </c>
      <c r="AN53" s="379">
        <v>26200</v>
      </c>
      <c r="AO53" s="379">
        <v>26970</v>
      </c>
      <c r="AP53" s="379">
        <v>27830</v>
      </c>
      <c r="AQ53" s="379">
        <v>29290</v>
      </c>
      <c r="AR53" s="379">
        <v>30410</v>
      </c>
      <c r="AS53" s="379">
        <v>31660</v>
      </c>
      <c r="AT53" s="379">
        <v>32940</v>
      </c>
      <c r="AU53" s="379">
        <v>32390</v>
      </c>
      <c r="AV53" s="379">
        <v>32320</v>
      </c>
      <c r="AW53" s="379">
        <v>31980</v>
      </c>
      <c r="AX53" s="379">
        <v>32060</v>
      </c>
      <c r="AY53" s="379">
        <v>31700</v>
      </c>
      <c r="AZ53" s="379">
        <v>30640</v>
      </c>
      <c r="BA53" s="379">
        <v>30730</v>
      </c>
      <c r="BB53" s="379">
        <v>30380</v>
      </c>
      <c r="BC53" s="379">
        <v>31020</v>
      </c>
      <c r="BD53" s="379">
        <v>30510</v>
      </c>
      <c r="BE53" s="379">
        <v>29350</v>
      </c>
      <c r="BF53" s="379">
        <v>29730</v>
      </c>
    </row>
    <row r="54" spans="1:58" x14ac:dyDescent="0.2">
      <c r="A54" s="380" t="s">
        <v>64</v>
      </c>
      <c r="B54" s="238"/>
      <c r="C54" s="379">
        <v>19900</v>
      </c>
      <c r="D54" s="379">
        <v>19780</v>
      </c>
      <c r="E54" s="379">
        <v>19660</v>
      </c>
      <c r="F54" s="379">
        <v>19890</v>
      </c>
      <c r="G54" s="379">
        <v>19880</v>
      </c>
      <c r="H54" s="379">
        <v>20300</v>
      </c>
      <c r="I54" s="379">
        <v>20500</v>
      </c>
      <c r="J54" s="379">
        <v>21140</v>
      </c>
      <c r="K54" s="379">
        <v>21660</v>
      </c>
      <c r="L54" s="379">
        <v>22630</v>
      </c>
      <c r="M54" s="379">
        <v>23140</v>
      </c>
      <c r="N54" s="379">
        <v>23260</v>
      </c>
      <c r="O54" s="379">
        <v>24460</v>
      </c>
      <c r="P54" s="379">
        <v>24820</v>
      </c>
      <c r="Q54" s="379">
        <v>25670</v>
      </c>
      <c r="R54" s="379">
        <v>26130</v>
      </c>
      <c r="S54" s="379">
        <v>25990</v>
      </c>
      <c r="T54" s="379">
        <v>25710</v>
      </c>
      <c r="U54" s="379">
        <v>24780</v>
      </c>
      <c r="V54" s="379">
        <v>24480</v>
      </c>
      <c r="W54" s="379">
        <v>24120</v>
      </c>
      <c r="X54" s="379">
        <v>24260</v>
      </c>
      <c r="Y54" s="379">
        <v>24620</v>
      </c>
      <c r="Z54" s="379">
        <v>24310</v>
      </c>
      <c r="AA54" s="379">
        <v>24750</v>
      </c>
      <c r="AB54" s="379">
        <v>24410</v>
      </c>
      <c r="AC54" s="379">
        <v>23310</v>
      </c>
      <c r="AD54" s="379">
        <v>22310</v>
      </c>
      <c r="AE54" s="379">
        <v>21620</v>
      </c>
      <c r="AF54" s="379">
        <v>21010</v>
      </c>
      <c r="AG54" s="379">
        <v>20980</v>
      </c>
      <c r="AH54" s="379">
        <v>20750</v>
      </c>
      <c r="AI54" s="379">
        <v>21450</v>
      </c>
      <c r="AJ54" s="379">
        <v>22190</v>
      </c>
      <c r="AK54" s="379">
        <v>23000</v>
      </c>
      <c r="AL54" s="379">
        <v>23880</v>
      </c>
      <c r="AM54" s="379">
        <v>24970</v>
      </c>
      <c r="AN54" s="379">
        <v>25330</v>
      </c>
      <c r="AO54" s="379">
        <v>25840</v>
      </c>
      <c r="AP54" s="379">
        <v>26600</v>
      </c>
      <c r="AQ54" s="379">
        <v>27450</v>
      </c>
      <c r="AR54" s="379">
        <v>28890</v>
      </c>
      <c r="AS54" s="379">
        <v>30000</v>
      </c>
      <c r="AT54" s="379">
        <v>31230</v>
      </c>
      <c r="AU54" s="379">
        <v>32490</v>
      </c>
      <c r="AV54" s="379">
        <v>31950</v>
      </c>
      <c r="AW54" s="379">
        <v>31890</v>
      </c>
      <c r="AX54" s="379">
        <v>31560</v>
      </c>
      <c r="AY54" s="379">
        <v>31640</v>
      </c>
      <c r="AZ54" s="379">
        <v>31280</v>
      </c>
      <c r="BA54" s="379">
        <v>30240</v>
      </c>
      <c r="BB54" s="379">
        <v>30320</v>
      </c>
      <c r="BC54" s="379">
        <v>29980</v>
      </c>
      <c r="BD54" s="379">
        <v>30620</v>
      </c>
      <c r="BE54" s="379">
        <v>30120</v>
      </c>
      <c r="BF54" s="379">
        <v>28970</v>
      </c>
    </row>
    <row r="55" spans="1:58" x14ac:dyDescent="0.2">
      <c r="A55" s="380" t="s">
        <v>65</v>
      </c>
      <c r="B55" s="238"/>
      <c r="C55" s="379">
        <v>16120</v>
      </c>
      <c r="D55" s="379">
        <v>19190</v>
      </c>
      <c r="E55" s="379">
        <v>19090</v>
      </c>
      <c r="F55" s="379">
        <v>19030</v>
      </c>
      <c r="G55" s="379">
        <v>19290</v>
      </c>
      <c r="H55" s="379">
        <v>19270</v>
      </c>
      <c r="I55" s="379">
        <v>19700</v>
      </c>
      <c r="J55" s="379">
        <v>19930</v>
      </c>
      <c r="K55" s="379">
        <v>20590</v>
      </c>
      <c r="L55" s="379">
        <v>21120</v>
      </c>
      <c r="M55" s="379">
        <v>22080</v>
      </c>
      <c r="N55" s="379">
        <v>22600</v>
      </c>
      <c r="O55" s="379">
        <v>22740</v>
      </c>
      <c r="P55" s="379">
        <v>23920</v>
      </c>
      <c r="Q55" s="379">
        <v>24290</v>
      </c>
      <c r="R55" s="379">
        <v>25140</v>
      </c>
      <c r="S55" s="379">
        <v>25610</v>
      </c>
      <c r="T55" s="379">
        <v>25480</v>
      </c>
      <c r="U55" s="379">
        <v>25220</v>
      </c>
      <c r="V55" s="379">
        <v>24320</v>
      </c>
      <c r="W55" s="379">
        <v>24040</v>
      </c>
      <c r="X55" s="379">
        <v>23700</v>
      </c>
      <c r="Y55" s="379">
        <v>23840</v>
      </c>
      <c r="Z55" s="379">
        <v>24200</v>
      </c>
      <c r="AA55" s="379">
        <v>23900</v>
      </c>
      <c r="AB55" s="379">
        <v>24340</v>
      </c>
      <c r="AC55" s="379">
        <v>24010</v>
      </c>
      <c r="AD55" s="379">
        <v>22930</v>
      </c>
      <c r="AE55" s="379">
        <v>21950</v>
      </c>
      <c r="AF55" s="379">
        <v>21280</v>
      </c>
      <c r="AG55" s="379">
        <v>20670</v>
      </c>
      <c r="AH55" s="379">
        <v>20640</v>
      </c>
      <c r="AI55" s="379">
        <v>20420</v>
      </c>
      <c r="AJ55" s="379">
        <v>21110</v>
      </c>
      <c r="AK55" s="379">
        <v>21840</v>
      </c>
      <c r="AL55" s="379">
        <v>22630</v>
      </c>
      <c r="AM55" s="379">
        <v>23500</v>
      </c>
      <c r="AN55" s="379">
        <v>24570</v>
      </c>
      <c r="AO55" s="379">
        <v>24940</v>
      </c>
      <c r="AP55" s="379">
        <v>25440</v>
      </c>
      <c r="AQ55" s="379">
        <v>26180</v>
      </c>
      <c r="AR55" s="379">
        <v>27020</v>
      </c>
      <c r="AS55" s="379">
        <v>28440</v>
      </c>
      <c r="AT55" s="379">
        <v>29530</v>
      </c>
      <c r="AU55" s="379">
        <v>30740</v>
      </c>
      <c r="AV55" s="379">
        <v>31980</v>
      </c>
      <c r="AW55" s="379">
        <v>31460</v>
      </c>
      <c r="AX55" s="379">
        <v>31390</v>
      </c>
      <c r="AY55" s="379">
        <v>31070</v>
      </c>
      <c r="AZ55" s="379">
        <v>31150</v>
      </c>
      <c r="BA55" s="379">
        <v>30800</v>
      </c>
      <c r="BB55" s="379">
        <v>29780</v>
      </c>
      <c r="BC55" s="379">
        <v>29860</v>
      </c>
      <c r="BD55" s="379">
        <v>29530</v>
      </c>
      <c r="BE55" s="379">
        <v>30160</v>
      </c>
      <c r="BF55" s="379">
        <v>29660</v>
      </c>
    </row>
    <row r="56" spans="1:58" x14ac:dyDescent="0.2">
      <c r="A56" s="380" t="s">
        <v>66</v>
      </c>
      <c r="B56" s="238"/>
      <c r="C56" s="379">
        <v>14710</v>
      </c>
      <c r="D56" s="379">
        <v>15500</v>
      </c>
      <c r="E56" s="379">
        <v>18470</v>
      </c>
      <c r="F56" s="379">
        <v>18380</v>
      </c>
      <c r="G56" s="379">
        <v>18380</v>
      </c>
      <c r="H56" s="379">
        <v>18640</v>
      </c>
      <c r="I56" s="379">
        <v>18650</v>
      </c>
      <c r="J56" s="379">
        <v>19100</v>
      </c>
      <c r="K56" s="379">
        <v>19340</v>
      </c>
      <c r="L56" s="379">
        <v>20010</v>
      </c>
      <c r="M56" s="379">
        <v>20540</v>
      </c>
      <c r="N56" s="379">
        <v>21500</v>
      </c>
      <c r="O56" s="379">
        <v>22020</v>
      </c>
      <c r="P56" s="379">
        <v>22170</v>
      </c>
      <c r="Q56" s="379">
        <v>23340</v>
      </c>
      <c r="R56" s="379">
        <v>23710</v>
      </c>
      <c r="S56" s="379">
        <v>24560</v>
      </c>
      <c r="T56" s="379">
        <v>25030</v>
      </c>
      <c r="U56" s="379">
        <v>24920</v>
      </c>
      <c r="V56" s="379">
        <v>24670</v>
      </c>
      <c r="W56" s="379">
        <v>23800</v>
      </c>
      <c r="X56" s="379">
        <v>23540</v>
      </c>
      <c r="Y56" s="379">
        <v>23210</v>
      </c>
      <c r="Z56" s="379">
        <v>23360</v>
      </c>
      <c r="AA56" s="379">
        <v>23720</v>
      </c>
      <c r="AB56" s="379">
        <v>23430</v>
      </c>
      <c r="AC56" s="379">
        <v>23850</v>
      </c>
      <c r="AD56" s="379">
        <v>23540</v>
      </c>
      <c r="AE56" s="379">
        <v>22480</v>
      </c>
      <c r="AF56" s="379">
        <v>21520</v>
      </c>
      <c r="AG56" s="379">
        <v>20860</v>
      </c>
      <c r="AH56" s="379">
        <v>20270</v>
      </c>
      <c r="AI56" s="379">
        <v>20240</v>
      </c>
      <c r="AJ56" s="379">
        <v>20020</v>
      </c>
      <c r="AK56" s="379">
        <v>20700</v>
      </c>
      <c r="AL56" s="379">
        <v>21420</v>
      </c>
      <c r="AM56" s="379">
        <v>22200</v>
      </c>
      <c r="AN56" s="379">
        <v>23050</v>
      </c>
      <c r="AO56" s="379">
        <v>24100</v>
      </c>
      <c r="AP56" s="379">
        <v>24460</v>
      </c>
      <c r="AQ56" s="379">
        <v>24950</v>
      </c>
      <c r="AR56" s="379">
        <v>25680</v>
      </c>
      <c r="AS56" s="379">
        <v>26510</v>
      </c>
      <c r="AT56" s="379">
        <v>27900</v>
      </c>
      <c r="AU56" s="379">
        <v>28970</v>
      </c>
      <c r="AV56" s="379">
        <v>30150</v>
      </c>
      <c r="AW56" s="379">
        <v>31370</v>
      </c>
      <c r="AX56" s="379">
        <v>30860</v>
      </c>
      <c r="AY56" s="379">
        <v>30800</v>
      </c>
      <c r="AZ56" s="379">
        <v>30480</v>
      </c>
      <c r="BA56" s="379">
        <v>30570</v>
      </c>
      <c r="BB56" s="379">
        <v>30230</v>
      </c>
      <c r="BC56" s="379">
        <v>29230</v>
      </c>
      <c r="BD56" s="379">
        <v>29310</v>
      </c>
      <c r="BE56" s="379">
        <v>28980</v>
      </c>
      <c r="BF56" s="379">
        <v>29600</v>
      </c>
    </row>
    <row r="57" spans="1:58" x14ac:dyDescent="0.2">
      <c r="A57" s="380" t="s">
        <v>67</v>
      </c>
      <c r="B57" s="238"/>
      <c r="C57" s="379">
        <v>13520</v>
      </c>
      <c r="D57" s="379">
        <v>14100</v>
      </c>
      <c r="E57" s="379">
        <v>14870</v>
      </c>
      <c r="F57" s="379">
        <v>17750</v>
      </c>
      <c r="G57" s="379">
        <v>17690</v>
      </c>
      <c r="H57" s="379">
        <v>17730</v>
      </c>
      <c r="I57" s="379">
        <v>18000</v>
      </c>
      <c r="J57" s="379">
        <v>18040</v>
      </c>
      <c r="K57" s="379">
        <v>18510</v>
      </c>
      <c r="L57" s="379">
        <v>18770</v>
      </c>
      <c r="M57" s="379">
        <v>19440</v>
      </c>
      <c r="N57" s="379">
        <v>19970</v>
      </c>
      <c r="O57" s="379">
        <v>20920</v>
      </c>
      <c r="P57" s="379">
        <v>21440</v>
      </c>
      <c r="Q57" s="379">
        <v>21610</v>
      </c>
      <c r="R57" s="379">
        <v>22760</v>
      </c>
      <c r="S57" s="379">
        <v>23140</v>
      </c>
      <c r="T57" s="379">
        <v>23980</v>
      </c>
      <c r="U57" s="379">
        <v>24460</v>
      </c>
      <c r="V57" s="379">
        <v>24360</v>
      </c>
      <c r="W57" s="379">
        <v>24130</v>
      </c>
      <c r="X57" s="379">
        <v>23290</v>
      </c>
      <c r="Y57" s="379">
        <v>23040</v>
      </c>
      <c r="Z57" s="379">
        <v>22730</v>
      </c>
      <c r="AA57" s="379">
        <v>22880</v>
      </c>
      <c r="AB57" s="379">
        <v>23230</v>
      </c>
      <c r="AC57" s="379">
        <v>22960</v>
      </c>
      <c r="AD57" s="379">
        <v>23370</v>
      </c>
      <c r="AE57" s="379">
        <v>23070</v>
      </c>
      <c r="AF57" s="379">
        <v>22030</v>
      </c>
      <c r="AG57" s="379">
        <v>21100</v>
      </c>
      <c r="AH57" s="379">
        <v>20450</v>
      </c>
      <c r="AI57" s="379">
        <v>19870</v>
      </c>
      <c r="AJ57" s="379">
        <v>19850</v>
      </c>
      <c r="AK57" s="379">
        <v>19630</v>
      </c>
      <c r="AL57" s="379">
        <v>20300</v>
      </c>
      <c r="AM57" s="379">
        <v>21000</v>
      </c>
      <c r="AN57" s="379">
        <v>21770</v>
      </c>
      <c r="AO57" s="379">
        <v>22600</v>
      </c>
      <c r="AP57" s="379">
        <v>23630</v>
      </c>
      <c r="AQ57" s="379">
        <v>23980</v>
      </c>
      <c r="AR57" s="379">
        <v>24470</v>
      </c>
      <c r="AS57" s="379">
        <v>25190</v>
      </c>
      <c r="AT57" s="379">
        <v>26000</v>
      </c>
      <c r="AU57" s="379">
        <v>27360</v>
      </c>
      <c r="AV57" s="379">
        <v>28410</v>
      </c>
      <c r="AW57" s="379">
        <v>29570</v>
      </c>
      <c r="AX57" s="379">
        <v>30770</v>
      </c>
      <c r="AY57" s="379">
        <v>30260</v>
      </c>
      <c r="AZ57" s="379">
        <v>30210</v>
      </c>
      <c r="BA57" s="379">
        <v>29900</v>
      </c>
      <c r="BB57" s="379">
        <v>29980</v>
      </c>
      <c r="BC57" s="379">
        <v>29650</v>
      </c>
      <c r="BD57" s="379">
        <v>28670</v>
      </c>
      <c r="BE57" s="379">
        <v>28760</v>
      </c>
      <c r="BF57" s="379">
        <v>28440</v>
      </c>
    </row>
    <row r="58" spans="1:58" x14ac:dyDescent="0.2">
      <c r="A58" s="380" t="s">
        <v>68</v>
      </c>
      <c r="B58" s="238"/>
      <c r="C58" s="379">
        <v>11360</v>
      </c>
      <c r="D58" s="379">
        <v>12890</v>
      </c>
      <c r="E58" s="379">
        <v>13480</v>
      </c>
      <c r="F58" s="379">
        <v>14230</v>
      </c>
      <c r="G58" s="379">
        <v>17030</v>
      </c>
      <c r="H58" s="379">
        <v>16990</v>
      </c>
      <c r="I58" s="379">
        <v>17070</v>
      </c>
      <c r="J58" s="379">
        <v>17370</v>
      </c>
      <c r="K58" s="379">
        <v>17440</v>
      </c>
      <c r="L58" s="379">
        <v>17920</v>
      </c>
      <c r="M58" s="379">
        <v>18200</v>
      </c>
      <c r="N58" s="379">
        <v>18870</v>
      </c>
      <c r="O58" s="379">
        <v>19410</v>
      </c>
      <c r="P58" s="379">
        <v>20350</v>
      </c>
      <c r="Q58" s="379">
        <v>20870</v>
      </c>
      <c r="R58" s="379">
        <v>21060</v>
      </c>
      <c r="S58" s="379">
        <v>22200</v>
      </c>
      <c r="T58" s="379">
        <v>22580</v>
      </c>
      <c r="U58" s="379">
        <v>23420</v>
      </c>
      <c r="V58" s="379">
        <v>23890</v>
      </c>
      <c r="W58" s="379">
        <v>23810</v>
      </c>
      <c r="X58" s="379">
        <v>23600</v>
      </c>
      <c r="Y58" s="379">
        <v>22790</v>
      </c>
      <c r="Z58" s="379">
        <v>22560</v>
      </c>
      <c r="AA58" s="379">
        <v>22260</v>
      </c>
      <c r="AB58" s="379">
        <v>22410</v>
      </c>
      <c r="AC58" s="379">
        <v>22760</v>
      </c>
      <c r="AD58" s="379">
        <v>22490</v>
      </c>
      <c r="AE58" s="379">
        <v>22900</v>
      </c>
      <c r="AF58" s="379">
        <v>22600</v>
      </c>
      <c r="AG58" s="379">
        <v>21580</v>
      </c>
      <c r="AH58" s="379">
        <v>20670</v>
      </c>
      <c r="AI58" s="379">
        <v>20040</v>
      </c>
      <c r="AJ58" s="379">
        <v>19480</v>
      </c>
      <c r="AK58" s="379">
        <v>19450</v>
      </c>
      <c r="AL58" s="379">
        <v>19250</v>
      </c>
      <c r="AM58" s="379">
        <v>19900</v>
      </c>
      <c r="AN58" s="379">
        <v>20590</v>
      </c>
      <c r="AO58" s="379">
        <v>21340</v>
      </c>
      <c r="AP58" s="379">
        <v>22160</v>
      </c>
      <c r="AQ58" s="379">
        <v>23170</v>
      </c>
      <c r="AR58" s="379">
        <v>23510</v>
      </c>
      <c r="AS58" s="379">
        <v>23990</v>
      </c>
      <c r="AT58" s="379">
        <v>24690</v>
      </c>
      <c r="AU58" s="379">
        <v>25490</v>
      </c>
      <c r="AV58" s="379">
        <v>26820</v>
      </c>
      <c r="AW58" s="379">
        <v>27850</v>
      </c>
      <c r="AX58" s="379">
        <v>28990</v>
      </c>
      <c r="AY58" s="379">
        <v>30160</v>
      </c>
      <c r="AZ58" s="379">
        <v>29670</v>
      </c>
      <c r="BA58" s="379">
        <v>29620</v>
      </c>
      <c r="BB58" s="379">
        <v>29320</v>
      </c>
      <c r="BC58" s="379">
        <v>29410</v>
      </c>
      <c r="BD58" s="379">
        <v>29080</v>
      </c>
      <c r="BE58" s="379">
        <v>28130</v>
      </c>
      <c r="BF58" s="379">
        <v>28210</v>
      </c>
    </row>
    <row r="59" spans="1:58" x14ac:dyDescent="0.2">
      <c r="A59" s="380" t="s">
        <v>69</v>
      </c>
      <c r="B59" s="238"/>
      <c r="C59" s="379">
        <v>11650</v>
      </c>
      <c r="D59" s="379">
        <v>10640</v>
      </c>
      <c r="E59" s="379">
        <v>12140</v>
      </c>
      <c r="F59" s="379">
        <v>12750</v>
      </c>
      <c r="G59" s="379">
        <v>13530</v>
      </c>
      <c r="H59" s="379">
        <v>16220</v>
      </c>
      <c r="I59" s="379">
        <v>16220</v>
      </c>
      <c r="J59" s="379">
        <v>16340</v>
      </c>
      <c r="K59" s="379">
        <v>16670</v>
      </c>
      <c r="L59" s="379">
        <v>16780</v>
      </c>
      <c r="M59" s="379">
        <v>17280</v>
      </c>
      <c r="N59" s="379">
        <v>17590</v>
      </c>
      <c r="O59" s="379">
        <v>18270</v>
      </c>
      <c r="P59" s="379">
        <v>18830</v>
      </c>
      <c r="Q59" s="379">
        <v>19770</v>
      </c>
      <c r="R59" s="379">
        <v>20310</v>
      </c>
      <c r="S59" s="379">
        <v>20510</v>
      </c>
      <c r="T59" s="379">
        <v>21650</v>
      </c>
      <c r="U59" s="379">
        <v>22050</v>
      </c>
      <c r="V59" s="379">
        <v>22880</v>
      </c>
      <c r="W59" s="379">
        <v>23370</v>
      </c>
      <c r="X59" s="379">
        <v>23310</v>
      </c>
      <c r="Y59" s="379">
        <v>23120</v>
      </c>
      <c r="Z59" s="379">
        <v>22350</v>
      </c>
      <c r="AA59" s="379">
        <v>22120</v>
      </c>
      <c r="AB59" s="379">
        <v>21840</v>
      </c>
      <c r="AC59" s="379">
        <v>22000</v>
      </c>
      <c r="AD59" s="379">
        <v>22340</v>
      </c>
      <c r="AE59" s="379">
        <v>22080</v>
      </c>
      <c r="AF59" s="379">
        <v>22480</v>
      </c>
      <c r="AG59" s="379">
        <v>22180</v>
      </c>
      <c r="AH59" s="379">
        <v>21180</v>
      </c>
      <c r="AI59" s="379">
        <v>20290</v>
      </c>
      <c r="AJ59" s="379">
        <v>19680</v>
      </c>
      <c r="AK59" s="379">
        <v>19130</v>
      </c>
      <c r="AL59" s="379">
        <v>19110</v>
      </c>
      <c r="AM59" s="379">
        <v>18910</v>
      </c>
      <c r="AN59" s="379">
        <v>19560</v>
      </c>
      <c r="AO59" s="379">
        <v>20230</v>
      </c>
      <c r="AP59" s="379">
        <v>20970</v>
      </c>
      <c r="AQ59" s="379">
        <v>21770</v>
      </c>
      <c r="AR59" s="379">
        <v>22760</v>
      </c>
      <c r="AS59" s="379">
        <v>23100</v>
      </c>
      <c r="AT59" s="379">
        <v>23570</v>
      </c>
      <c r="AU59" s="379">
        <v>24260</v>
      </c>
      <c r="AV59" s="379">
        <v>25050</v>
      </c>
      <c r="AW59" s="379">
        <v>26360</v>
      </c>
      <c r="AX59" s="379">
        <v>27360</v>
      </c>
      <c r="AY59" s="379">
        <v>28480</v>
      </c>
      <c r="AZ59" s="379">
        <v>29640</v>
      </c>
      <c r="BA59" s="379">
        <v>29160</v>
      </c>
      <c r="BB59" s="379">
        <v>29110</v>
      </c>
      <c r="BC59" s="379">
        <v>28820</v>
      </c>
      <c r="BD59" s="379">
        <v>28900</v>
      </c>
      <c r="BE59" s="379">
        <v>28590</v>
      </c>
      <c r="BF59" s="379">
        <v>27650</v>
      </c>
    </row>
    <row r="60" spans="1:58" x14ac:dyDescent="0.2">
      <c r="A60" s="380" t="s">
        <v>70</v>
      </c>
      <c r="B60" s="238"/>
      <c r="C60" s="379">
        <v>8480</v>
      </c>
      <c r="D60" s="379">
        <v>8830</v>
      </c>
      <c r="E60" s="379">
        <v>8200</v>
      </c>
      <c r="F60" s="379">
        <v>9500</v>
      </c>
      <c r="G60" s="379">
        <v>10120</v>
      </c>
      <c r="H60" s="379">
        <v>10910</v>
      </c>
      <c r="I60" s="379">
        <v>13220</v>
      </c>
      <c r="J60" s="379">
        <v>13370</v>
      </c>
      <c r="K60" s="379">
        <v>13610</v>
      </c>
      <c r="L60" s="379">
        <v>14030</v>
      </c>
      <c r="M60" s="379">
        <v>14240</v>
      </c>
      <c r="N60" s="379">
        <v>14790</v>
      </c>
      <c r="O60" s="379">
        <v>15160</v>
      </c>
      <c r="P60" s="379">
        <v>15860</v>
      </c>
      <c r="Q60" s="379">
        <v>16440</v>
      </c>
      <c r="R60" s="379">
        <v>17370</v>
      </c>
      <c r="S60" s="379">
        <v>17930</v>
      </c>
      <c r="T60" s="379">
        <v>18200</v>
      </c>
      <c r="U60" s="379">
        <v>19290</v>
      </c>
      <c r="V60" s="379">
        <v>19730</v>
      </c>
      <c r="W60" s="379">
        <v>20550</v>
      </c>
      <c r="X60" s="379">
        <v>21050</v>
      </c>
      <c r="Y60" s="379">
        <v>21060</v>
      </c>
      <c r="Z60" s="379">
        <v>20940</v>
      </c>
      <c r="AA60" s="379">
        <v>20280</v>
      </c>
      <c r="AB60" s="379">
        <v>20110</v>
      </c>
      <c r="AC60" s="379">
        <v>19880</v>
      </c>
      <c r="AD60" s="379">
        <v>20040</v>
      </c>
      <c r="AE60" s="379">
        <v>20370</v>
      </c>
      <c r="AF60" s="379">
        <v>20130</v>
      </c>
      <c r="AG60" s="379">
        <v>20490</v>
      </c>
      <c r="AH60" s="379">
        <v>20220</v>
      </c>
      <c r="AI60" s="379">
        <v>19320</v>
      </c>
      <c r="AJ60" s="379">
        <v>18510</v>
      </c>
      <c r="AK60" s="379">
        <v>17960</v>
      </c>
      <c r="AL60" s="379">
        <v>17460</v>
      </c>
      <c r="AM60" s="379">
        <v>17450</v>
      </c>
      <c r="AN60" s="379">
        <v>17270</v>
      </c>
      <c r="AO60" s="379">
        <v>17860</v>
      </c>
      <c r="AP60" s="379">
        <v>18470</v>
      </c>
      <c r="AQ60" s="379">
        <v>19140</v>
      </c>
      <c r="AR60" s="379">
        <v>19870</v>
      </c>
      <c r="AS60" s="379">
        <v>20780</v>
      </c>
      <c r="AT60" s="379">
        <v>21090</v>
      </c>
      <c r="AU60" s="379">
        <v>21520</v>
      </c>
      <c r="AV60" s="379">
        <v>22150</v>
      </c>
      <c r="AW60" s="379">
        <v>22870</v>
      </c>
      <c r="AX60" s="379">
        <v>24060</v>
      </c>
      <c r="AY60" s="379">
        <v>24980</v>
      </c>
      <c r="AZ60" s="379">
        <v>26010</v>
      </c>
      <c r="BA60" s="379">
        <v>27060</v>
      </c>
      <c r="BB60" s="379">
        <v>26620</v>
      </c>
      <c r="BC60" s="379">
        <v>26580</v>
      </c>
      <c r="BD60" s="379">
        <v>26320</v>
      </c>
      <c r="BE60" s="379">
        <v>26400</v>
      </c>
      <c r="BF60" s="379">
        <v>26110</v>
      </c>
    </row>
    <row r="61" spans="1:58" x14ac:dyDescent="0.2">
      <c r="A61" s="380" t="s">
        <v>71</v>
      </c>
      <c r="B61" s="238"/>
      <c r="C61" s="379">
        <v>6670</v>
      </c>
      <c r="D61" s="379">
        <v>7490</v>
      </c>
      <c r="E61" s="379">
        <v>7860</v>
      </c>
      <c r="F61" s="379">
        <v>7350</v>
      </c>
      <c r="G61" s="379">
        <v>8580</v>
      </c>
      <c r="H61" s="379">
        <v>9190</v>
      </c>
      <c r="I61" s="379">
        <v>9950</v>
      </c>
      <c r="J61" s="379">
        <v>12100</v>
      </c>
      <c r="K61" s="379">
        <v>12290</v>
      </c>
      <c r="L61" s="379">
        <v>12560</v>
      </c>
      <c r="M61" s="379">
        <v>12980</v>
      </c>
      <c r="N61" s="379">
        <v>13220</v>
      </c>
      <c r="O61" s="379">
        <v>13760</v>
      </c>
      <c r="P61" s="379">
        <v>14140</v>
      </c>
      <c r="Q61" s="379">
        <v>14820</v>
      </c>
      <c r="R61" s="379">
        <v>15400</v>
      </c>
      <c r="S61" s="379">
        <v>16280</v>
      </c>
      <c r="T61" s="379">
        <v>16840</v>
      </c>
      <c r="U61" s="379">
        <v>17120</v>
      </c>
      <c r="V61" s="379">
        <v>18160</v>
      </c>
      <c r="W61" s="379">
        <v>18590</v>
      </c>
      <c r="X61" s="379">
        <v>19370</v>
      </c>
      <c r="Y61" s="379">
        <v>19860</v>
      </c>
      <c r="Z61" s="379">
        <v>19870</v>
      </c>
      <c r="AA61" s="379">
        <v>19770</v>
      </c>
      <c r="AB61" s="379">
        <v>19150</v>
      </c>
      <c r="AC61" s="379">
        <v>18990</v>
      </c>
      <c r="AD61" s="379">
        <v>18780</v>
      </c>
      <c r="AE61" s="379">
        <v>18920</v>
      </c>
      <c r="AF61" s="379">
        <v>19220</v>
      </c>
      <c r="AG61" s="379">
        <v>18990</v>
      </c>
      <c r="AH61" s="379">
        <v>19330</v>
      </c>
      <c r="AI61" s="379">
        <v>19070</v>
      </c>
      <c r="AJ61" s="379">
        <v>18230</v>
      </c>
      <c r="AK61" s="379">
        <v>17470</v>
      </c>
      <c r="AL61" s="379">
        <v>16950</v>
      </c>
      <c r="AM61" s="379">
        <v>16490</v>
      </c>
      <c r="AN61" s="379">
        <v>16470</v>
      </c>
      <c r="AO61" s="379">
        <v>16310</v>
      </c>
      <c r="AP61" s="379">
        <v>16860</v>
      </c>
      <c r="AQ61" s="379">
        <v>17450</v>
      </c>
      <c r="AR61" s="379">
        <v>18080</v>
      </c>
      <c r="AS61" s="379">
        <v>18770</v>
      </c>
      <c r="AT61" s="379">
        <v>19630</v>
      </c>
      <c r="AU61" s="379">
        <v>19920</v>
      </c>
      <c r="AV61" s="379">
        <v>20330</v>
      </c>
      <c r="AW61" s="379">
        <v>20930</v>
      </c>
      <c r="AX61" s="379">
        <v>21600</v>
      </c>
      <c r="AY61" s="379">
        <v>22730</v>
      </c>
      <c r="AZ61" s="379">
        <v>23600</v>
      </c>
      <c r="BA61" s="379">
        <v>24570</v>
      </c>
      <c r="BB61" s="379">
        <v>25560</v>
      </c>
      <c r="BC61" s="379">
        <v>25160</v>
      </c>
      <c r="BD61" s="379">
        <v>25120</v>
      </c>
      <c r="BE61" s="379">
        <v>24870</v>
      </c>
      <c r="BF61" s="379">
        <v>24950</v>
      </c>
    </row>
    <row r="62" spans="1:58" x14ac:dyDescent="0.2">
      <c r="A62" s="380" t="s">
        <v>72</v>
      </c>
      <c r="B62" s="238"/>
      <c r="C62" s="379">
        <v>5070</v>
      </c>
      <c r="D62" s="379">
        <v>5950</v>
      </c>
      <c r="E62" s="379">
        <v>6700</v>
      </c>
      <c r="F62" s="379">
        <v>7070</v>
      </c>
      <c r="G62" s="379">
        <v>6630</v>
      </c>
      <c r="H62" s="379">
        <v>7790</v>
      </c>
      <c r="I62" s="379">
        <v>8350</v>
      </c>
      <c r="J62" s="379">
        <v>9070</v>
      </c>
      <c r="K62" s="379">
        <v>11060</v>
      </c>
      <c r="L62" s="379">
        <v>11250</v>
      </c>
      <c r="M62" s="379">
        <v>11530</v>
      </c>
      <c r="N62" s="379">
        <v>11940</v>
      </c>
      <c r="O62" s="379">
        <v>12180</v>
      </c>
      <c r="P62" s="379">
        <v>12690</v>
      </c>
      <c r="Q62" s="379">
        <v>13060</v>
      </c>
      <c r="R62" s="379">
        <v>13690</v>
      </c>
      <c r="S62" s="379">
        <v>14240</v>
      </c>
      <c r="T62" s="379">
        <v>15070</v>
      </c>
      <c r="U62" s="379">
        <v>15600</v>
      </c>
      <c r="V62" s="379">
        <v>15860</v>
      </c>
      <c r="W62" s="379">
        <v>16830</v>
      </c>
      <c r="X62" s="379">
        <v>17230</v>
      </c>
      <c r="Y62" s="379">
        <v>17960</v>
      </c>
      <c r="Z62" s="379">
        <v>18410</v>
      </c>
      <c r="AA62" s="379">
        <v>18420</v>
      </c>
      <c r="AB62" s="379">
        <v>18320</v>
      </c>
      <c r="AC62" s="379">
        <v>17750</v>
      </c>
      <c r="AD62" s="379">
        <v>17600</v>
      </c>
      <c r="AE62" s="379">
        <v>17390</v>
      </c>
      <c r="AF62" s="379">
        <v>17510</v>
      </c>
      <c r="AG62" s="379">
        <v>17780</v>
      </c>
      <c r="AH62" s="379">
        <v>17560</v>
      </c>
      <c r="AI62" s="379">
        <v>17870</v>
      </c>
      <c r="AJ62" s="379">
        <v>17640</v>
      </c>
      <c r="AK62" s="379">
        <v>16860</v>
      </c>
      <c r="AL62" s="379">
        <v>16170</v>
      </c>
      <c r="AM62" s="379">
        <v>15690</v>
      </c>
      <c r="AN62" s="379">
        <v>15270</v>
      </c>
      <c r="AO62" s="379">
        <v>15250</v>
      </c>
      <c r="AP62" s="379">
        <v>15100</v>
      </c>
      <c r="AQ62" s="379">
        <v>15620</v>
      </c>
      <c r="AR62" s="379">
        <v>16160</v>
      </c>
      <c r="AS62" s="379">
        <v>16750</v>
      </c>
      <c r="AT62" s="379">
        <v>17390</v>
      </c>
      <c r="AU62" s="379">
        <v>18180</v>
      </c>
      <c r="AV62" s="379">
        <v>18460</v>
      </c>
      <c r="AW62" s="379">
        <v>18840</v>
      </c>
      <c r="AX62" s="379">
        <v>19390</v>
      </c>
      <c r="AY62" s="379">
        <v>20020</v>
      </c>
      <c r="AZ62" s="379">
        <v>21060</v>
      </c>
      <c r="BA62" s="379">
        <v>21870</v>
      </c>
      <c r="BB62" s="379">
        <v>22770</v>
      </c>
      <c r="BC62" s="379">
        <v>23690</v>
      </c>
      <c r="BD62" s="379">
        <v>23320</v>
      </c>
      <c r="BE62" s="379">
        <v>23280</v>
      </c>
      <c r="BF62" s="379">
        <v>23060</v>
      </c>
    </row>
    <row r="63" spans="1:58" x14ac:dyDescent="0.2">
      <c r="A63" s="380" t="s">
        <v>73</v>
      </c>
      <c r="B63" s="238"/>
      <c r="C63" s="379">
        <v>4200</v>
      </c>
      <c r="D63" s="379">
        <v>4570</v>
      </c>
      <c r="E63" s="379">
        <v>5370</v>
      </c>
      <c r="F63" s="379">
        <v>6080</v>
      </c>
      <c r="G63" s="379">
        <v>6430</v>
      </c>
      <c r="H63" s="379">
        <v>6040</v>
      </c>
      <c r="I63" s="379">
        <v>7110</v>
      </c>
      <c r="J63" s="379">
        <v>7640</v>
      </c>
      <c r="K63" s="379">
        <v>8310</v>
      </c>
      <c r="L63" s="379">
        <v>10140</v>
      </c>
      <c r="M63" s="379">
        <v>10330</v>
      </c>
      <c r="N63" s="379">
        <v>10590</v>
      </c>
      <c r="O63" s="379">
        <v>10980</v>
      </c>
      <c r="P63" s="379">
        <v>11200</v>
      </c>
      <c r="Q63" s="379">
        <v>11680</v>
      </c>
      <c r="R63" s="379">
        <v>12030</v>
      </c>
      <c r="S63" s="379">
        <v>12620</v>
      </c>
      <c r="T63" s="379">
        <v>13120</v>
      </c>
      <c r="U63" s="379">
        <v>13890</v>
      </c>
      <c r="V63" s="379">
        <v>14380</v>
      </c>
      <c r="W63" s="379">
        <v>14620</v>
      </c>
      <c r="X63" s="379">
        <v>15520</v>
      </c>
      <c r="Y63" s="379">
        <v>15880</v>
      </c>
      <c r="Z63" s="379">
        <v>16550</v>
      </c>
      <c r="AA63" s="379">
        <v>16960</v>
      </c>
      <c r="AB63" s="379">
        <v>16970</v>
      </c>
      <c r="AC63" s="379">
        <v>16870</v>
      </c>
      <c r="AD63" s="379">
        <v>16330</v>
      </c>
      <c r="AE63" s="379">
        <v>16190</v>
      </c>
      <c r="AF63" s="379">
        <v>15980</v>
      </c>
      <c r="AG63" s="379">
        <v>16090</v>
      </c>
      <c r="AH63" s="379">
        <v>16320</v>
      </c>
      <c r="AI63" s="379">
        <v>16120</v>
      </c>
      <c r="AJ63" s="379">
        <v>16410</v>
      </c>
      <c r="AK63" s="379">
        <v>16200</v>
      </c>
      <c r="AL63" s="379">
        <v>15490</v>
      </c>
      <c r="AM63" s="379">
        <v>14860</v>
      </c>
      <c r="AN63" s="379">
        <v>14420</v>
      </c>
      <c r="AO63" s="379">
        <v>14040</v>
      </c>
      <c r="AP63" s="379">
        <v>14030</v>
      </c>
      <c r="AQ63" s="379">
        <v>13890</v>
      </c>
      <c r="AR63" s="379">
        <v>14370</v>
      </c>
      <c r="AS63" s="379">
        <v>14870</v>
      </c>
      <c r="AT63" s="379">
        <v>15410</v>
      </c>
      <c r="AU63" s="379">
        <v>16000</v>
      </c>
      <c r="AV63" s="379">
        <v>16730</v>
      </c>
      <c r="AW63" s="379">
        <v>16990</v>
      </c>
      <c r="AX63" s="379">
        <v>17330</v>
      </c>
      <c r="AY63" s="379">
        <v>17850</v>
      </c>
      <c r="AZ63" s="379">
        <v>18420</v>
      </c>
      <c r="BA63" s="379">
        <v>19390</v>
      </c>
      <c r="BB63" s="379">
        <v>20130</v>
      </c>
      <c r="BC63" s="379">
        <v>20960</v>
      </c>
      <c r="BD63" s="379">
        <v>21810</v>
      </c>
      <c r="BE63" s="379">
        <v>21470</v>
      </c>
      <c r="BF63" s="379">
        <v>21440</v>
      </c>
    </row>
    <row r="64" spans="1:58" x14ac:dyDescent="0.2">
      <c r="A64" s="380" t="s">
        <v>74</v>
      </c>
      <c r="B64" s="238"/>
      <c r="C64" s="379">
        <v>3430</v>
      </c>
      <c r="D64" s="379">
        <v>3850</v>
      </c>
      <c r="E64" s="379">
        <v>4180</v>
      </c>
      <c r="F64" s="379">
        <v>4920</v>
      </c>
      <c r="G64" s="379">
        <v>5570</v>
      </c>
      <c r="H64" s="379">
        <v>5900</v>
      </c>
      <c r="I64" s="379">
        <v>5550</v>
      </c>
      <c r="J64" s="379">
        <v>6520</v>
      </c>
      <c r="K64" s="379">
        <v>7010</v>
      </c>
      <c r="L64" s="379">
        <v>7630</v>
      </c>
      <c r="M64" s="379">
        <v>9300</v>
      </c>
      <c r="N64" s="379">
        <v>9480</v>
      </c>
      <c r="O64" s="379">
        <v>9720</v>
      </c>
      <c r="P64" s="379">
        <v>10080</v>
      </c>
      <c r="Q64" s="379">
        <v>10280</v>
      </c>
      <c r="R64" s="379">
        <v>10720</v>
      </c>
      <c r="S64" s="379">
        <v>11040</v>
      </c>
      <c r="T64" s="379">
        <v>11580</v>
      </c>
      <c r="U64" s="379">
        <v>12040</v>
      </c>
      <c r="V64" s="379">
        <v>12740</v>
      </c>
      <c r="W64" s="379">
        <v>13180</v>
      </c>
      <c r="X64" s="379">
        <v>13400</v>
      </c>
      <c r="Y64" s="379">
        <v>14210</v>
      </c>
      <c r="Z64" s="379">
        <v>14540</v>
      </c>
      <c r="AA64" s="379">
        <v>15140</v>
      </c>
      <c r="AB64" s="379">
        <v>15510</v>
      </c>
      <c r="AC64" s="379">
        <v>15500</v>
      </c>
      <c r="AD64" s="379">
        <v>15400</v>
      </c>
      <c r="AE64" s="379">
        <v>14900</v>
      </c>
      <c r="AF64" s="379">
        <v>14760</v>
      </c>
      <c r="AG64" s="379">
        <v>14560</v>
      </c>
      <c r="AH64" s="379">
        <v>14650</v>
      </c>
      <c r="AI64" s="379">
        <v>14860</v>
      </c>
      <c r="AJ64" s="379">
        <v>14690</v>
      </c>
      <c r="AK64" s="379">
        <v>14950</v>
      </c>
      <c r="AL64" s="379">
        <v>14770</v>
      </c>
      <c r="AM64" s="379">
        <v>14120</v>
      </c>
      <c r="AN64" s="379">
        <v>13550</v>
      </c>
      <c r="AO64" s="379">
        <v>13150</v>
      </c>
      <c r="AP64" s="379">
        <v>12800</v>
      </c>
      <c r="AQ64" s="379">
        <v>12800</v>
      </c>
      <c r="AR64" s="379">
        <v>12680</v>
      </c>
      <c r="AS64" s="379">
        <v>13110</v>
      </c>
      <c r="AT64" s="379">
        <v>13570</v>
      </c>
      <c r="AU64" s="379">
        <v>14060</v>
      </c>
      <c r="AV64" s="379">
        <v>14610</v>
      </c>
      <c r="AW64" s="379">
        <v>15270</v>
      </c>
      <c r="AX64" s="379">
        <v>15510</v>
      </c>
      <c r="AY64" s="379">
        <v>15830</v>
      </c>
      <c r="AZ64" s="379">
        <v>16300</v>
      </c>
      <c r="BA64" s="379">
        <v>16830</v>
      </c>
      <c r="BB64" s="379">
        <v>17710</v>
      </c>
      <c r="BC64" s="379">
        <v>18390</v>
      </c>
      <c r="BD64" s="379">
        <v>19150</v>
      </c>
      <c r="BE64" s="379">
        <v>19930</v>
      </c>
      <c r="BF64" s="379">
        <v>19620</v>
      </c>
    </row>
    <row r="65" spans="1:58" x14ac:dyDescent="0.2">
      <c r="A65" s="380" t="s">
        <v>75</v>
      </c>
      <c r="B65" s="238"/>
      <c r="C65" s="379">
        <v>2370</v>
      </c>
      <c r="D65" s="379">
        <v>2660</v>
      </c>
      <c r="E65" s="379">
        <v>2960</v>
      </c>
      <c r="F65" s="379">
        <v>3200</v>
      </c>
      <c r="G65" s="379">
        <v>3750</v>
      </c>
      <c r="H65" s="379">
        <v>4220</v>
      </c>
      <c r="I65" s="379">
        <v>4450</v>
      </c>
      <c r="J65" s="379">
        <v>4170</v>
      </c>
      <c r="K65" s="379">
        <v>4890</v>
      </c>
      <c r="L65" s="379">
        <v>5240</v>
      </c>
      <c r="M65" s="379">
        <v>5690</v>
      </c>
      <c r="N65" s="379">
        <v>6920</v>
      </c>
      <c r="O65" s="379">
        <v>7040</v>
      </c>
      <c r="P65" s="379">
        <v>7210</v>
      </c>
      <c r="Q65" s="379">
        <v>7470</v>
      </c>
      <c r="R65" s="379">
        <v>7620</v>
      </c>
      <c r="S65" s="379">
        <v>7940</v>
      </c>
      <c r="T65" s="379">
        <v>8180</v>
      </c>
      <c r="U65" s="379">
        <v>8580</v>
      </c>
      <c r="V65" s="379">
        <v>8930</v>
      </c>
      <c r="W65" s="379">
        <v>9460</v>
      </c>
      <c r="X65" s="379">
        <v>9800</v>
      </c>
      <c r="Y65" s="379">
        <v>9980</v>
      </c>
      <c r="Z65" s="379">
        <v>10610</v>
      </c>
      <c r="AA65" s="379">
        <v>10880</v>
      </c>
      <c r="AB65" s="379">
        <v>11370</v>
      </c>
      <c r="AC65" s="379">
        <v>11680</v>
      </c>
      <c r="AD65" s="379">
        <v>11730</v>
      </c>
      <c r="AE65" s="379">
        <v>11700</v>
      </c>
      <c r="AF65" s="379">
        <v>11380</v>
      </c>
      <c r="AG65" s="379">
        <v>11330</v>
      </c>
      <c r="AH65" s="379">
        <v>11250</v>
      </c>
      <c r="AI65" s="379">
        <v>11390</v>
      </c>
      <c r="AJ65" s="379">
        <v>11620</v>
      </c>
      <c r="AK65" s="379">
        <v>11550</v>
      </c>
      <c r="AL65" s="379">
        <v>11810</v>
      </c>
      <c r="AM65" s="379">
        <v>11710</v>
      </c>
      <c r="AN65" s="379">
        <v>11250</v>
      </c>
      <c r="AO65" s="379">
        <v>10830</v>
      </c>
      <c r="AP65" s="379">
        <v>10540</v>
      </c>
      <c r="AQ65" s="379">
        <v>10290</v>
      </c>
      <c r="AR65" s="379">
        <v>10310</v>
      </c>
      <c r="AS65" s="379">
        <v>10240</v>
      </c>
      <c r="AT65" s="379">
        <v>10610</v>
      </c>
      <c r="AU65" s="379">
        <v>10990</v>
      </c>
      <c r="AV65" s="379">
        <v>11410</v>
      </c>
      <c r="AW65" s="379">
        <v>11850</v>
      </c>
      <c r="AX65" s="379">
        <v>12390</v>
      </c>
      <c r="AY65" s="379">
        <v>12590</v>
      </c>
      <c r="AZ65" s="379">
        <v>12850</v>
      </c>
      <c r="BA65" s="379">
        <v>13230</v>
      </c>
      <c r="BB65" s="379">
        <v>13660</v>
      </c>
      <c r="BC65" s="379">
        <v>14380</v>
      </c>
      <c r="BD65" s="379">
        <v>14930</v>
      </c>
      <c r="BE65" s="379">
        <v>15550</v>
      </c>
      <c r="BF65" s="379">
        <v>16180</v>
      </c>
    </row>
    <row r="66" spans="1:58" x14ac:dyDescent="0.2">
      <c r="A66" s="380" t="s">
        <v>76</v>
      </c>
      <c r="B66" s="238"/>
      <c r="C66" s="379">
        <v>2080</v>
      </c>
      <c r="D66" s="379">
        <v>2270</v>
      </c>
      <c r="E66" s="379">
        <v>2540</v>
      </c>
      <c r="F66" s="379">
        <v>2820</v>
      </c>
      <c r="G66" s="379">
        <v>3060</v>
      </c>
      <c r="H66" s="379">
        <v>3560</v>
      </c>
      <c r="I66" s="379">
        <v>4010</v>
      </c>
      <c r="J66" s="379">
        <v>4220</v>
      </c>
      <c r="K66" s="379">
        <v>3950</v>
      </c>
      <c r="L66" s="379">
        <v>4620</v>
      </c>
      <c r="M66" s="379">
        <v>4950</v>
      </c>
      <c r="N66" s="379">
        <v>5360</v>
      </c>
      <c r="O66" s="379">
        <v>6520</v>
      </c>
      <c r="P66" s="379">
        <v>6630</v>
      </c>
      <c r="Q66" s="379">
        <v>6790</v>
      </c>
      <c r="R66" s="379">
        <v>7020</v>
      </c>
      <c r="S66" s="379">
        <v>7160</v>
      </c>
      <c r="T66" s="379">
        <v>7460</v>
      </c>
      <c r="U66" s="379">
        <v>7670</v>
      </c>
      <c r="V66" s="379">
        <v>8050</v>
      </c>
      <c r="W66" s="379">
        <v>8370</v>
      </c>
      <c r="X66" s="379">
        <v>8870</v>
      </c>
      <c r="Y66" s="379">
        <v>9180</v>
      </c>
      <c r="Z66" s="379">
        <v>9350</v>
      </c>
      <c r="AA66" s="379">
        <v>9930</v>
      </c>
      <c r="AB66" s="379">
        <v>10190</v>
      </c>
      <c r="AC66" s="379">
        <v>10640</v>
      </c>
      <c r="AD66" s="379">
        <v>10930</v>
      </c>
      <c r="AE66" s="379">
        <v>10970</v>
      </c>
      <c r="AF66" s="379">
        <v>10950</v>
      </c>
      <c r="AG66" s="379">
        <v>10650</v>
      </c>
      <c r="AH66" s="379">
        <v>10600</v>
      </c>
      <c r="AI66" s="379">
        <v>10520</v>
      </c>
      <c r="AJ66" s="379">
        <v>10650</v>
      </c>
      <c r="AK66" s="379">
        <v>10870</v>
      </c>
      <c r="AL66" s="379">
        <v>10790</v>
      </c>
      <c r="AM66" s="379">
        <v>11040</v>
      </c>
      <c r="AN66" s="379">
        <v>10950</v>
      </c>
      <c r="AO66" s="379">
        <v>10510</v>
      </c>
      <c r="AP66" s="379">
        <v>10120</v>
      </c>
      <c r="AQ66" s="379">
        <v>9850</v>
      </c>
      <c r="AR66" s="379">
        <v>9620</v>
      </c>
      <c r="AS66" s="379">
        <v>9640</v>
      </c>
      <c r="AT66" s="379">
        <v>9560</v>
      </c>
      <c r="AU66" s="379">
        <v>9910</v>
      </c>
      <c r="AV66" s="379">
        <v>10270</v>
      </c>
      <c r="AW66" s="379">
        <v>10650</v>
      </c>
      <c r="AX66" s="379">
        <v>11060</v>
      </c>
      <c r="AY66" s="379">
        <v>11570</v>
      </c>
      <c r="AZ66" s="379">
        <v>11750</v>
      </c>
      <c r="BA66" s="379">
        <v>12000</v>
      </c>
      <c r="BB66" s="379">
        <v>12360</v>
      </c>
      <c r="BC66" s="379">
        <v>12760</v>
      </c>
      <c r="BD66" s="379">
        <v>13430</v>
      </c>
      <c r="BE66" s="379">
        <v>13950</v>
      </c>
      <c r="BF66" s="379">
        <v>14530</v>
      </c>
    </row>
    <row r="67" spans="1:58" x14ac:dyDescent="0.2">
      <c r="A67" s="380" t="s">
        <v>77</v>
      </c>
      <c r="B67" s="238"/>
      <c r="C67" s="379">
        <v>1790</v>
      </c>
      <c r="D67" s="379">
        <v>1990</v>
      </c>
      <c r="E67" s="379">
        <v>2170</v>
      </c>
      <c r="F67" s="379">
        <v>2410</v>
      </c>
      <c r="G67" s="379">
        <v>2680</v>
      </c>
      <c r="H67" s="379">
        <v>2890</v>
      </c>
      <c r="I67" s="379">
        <v>3360</v>
      </c>
      <c r="J67" s="379">
        <v>3780</v>
      </c>
      <c r="K67" s="379">
        <v>3970</v>
      </c>
      <c r="L67" s="379">
        <v>3710</v>
      </c>
      <c r="M67" s="379">
        <v>4340</v>
      </c>
      <c r="N67" s="379">
        <v>4640</v>
      </c>
      <c r="O67" s="379">
        <v>5030</v>
      </c>
      <c r="P67" s="379">
        <v>6110</v>
      </c>
      <c r="Q67" s="379">
        <v>6210</v>
      </c>
      <c r="R67" s="379">
        <v>6350</v>
      </c>
      <c r="S67" s="379">
        <v>6570</v>
      </c>
      <c r="T67" s="379">
        <v>6700</v>
      </c>
      <c r="U67" s="379">
        <v>6970</v>
      </c>
      <c r="V67" s="379">
        <v>7170</v>
      </c>
      <c r="W67" s="379">
        <v>7520</v>
      </c>
      <c r="X67" s="379">
        <v>7820</v>
      </c>
      <c r="Y67" s="379">
        <v>8280</v>
      </c>
      <c r="Z67" s="379">
        <v>8570</v>
      </c>
      <c r="AA67" s="379">
        <v>8720</v>
      </c>
      <c r="AB67" s="379">
        <v>9270</v>
      </c>
      <c r="AC67" s="379">
        <v>9500</v>
      </c>
      <c r="AD67" s="379">
        <v>9920</v>
      </c>
      <c r="AE67" s="379">
        <v>10190</v>
      </c>
      <c r="AF67" s="379">
        <v>10230</v>
      </c>
      <c r="AG67" s="379">
        <v>10210</v>
      </c>
      <c r="AH67" s="379">
        <v>9920</v>
      </c>
      <c r="AI67" s="379">
        <v>9880</v>
      </c>
      <c r="AJ67" s="379">
        <v>9800</v>
      </c>
      <c r="AK67" s="379">
        <v>9920</v>
      </c>
      <c r="AL67" s="379">
        <v>10120</v>
      </c>
      <c r="AM67" s="379">
        <v>10050</v>
      </c>
      <c r="AN67" s="379">
        <v>10280</v>
      </c>
      <c r="AO67" s="379">
        <v>10200</v>
      </c>
      <c r="AP67" s="379">
        <v>9790</v>
      </c>
      <c r="AQ67" s="379">
        <v>9420</v>
      </c>
      <c r="AR67" s="379">
        <v>9180</v>
      </c>
      <c r="AS67" s="379">
        <v>8960</v>
      </c>
      <c r="AT67" s="379">
        <v>8980</v>
      </c>
      <c r="AU67" s="379">
        <v>8910</v>
      </c>
      <c r="AV67" s="379">
        <v>9230</v>
      </c>
      <c r="AW67" s="379">
        <v>9560</v>
      </c>
      <c r="AX67" s="379">
        <v>9910</v>
      </c>
      <c r="AY67" s="379">
        <v>10290</v>
      </c>
      <c r="AZ67" s="379">
        <v>10770</v>
      </c>
      <c r="BA67" s="379">
        <v>10940</v>
      </c>
      <c r="BB67" s="379">
        <v>11170</v>
      </c>
      <c r="BC67" s="379">
        <v>11510</v>
      </c>
      <c r="BD67" s="379">
        <v>11880</v>
      </c>
      <c r="BE67" s="379">
        <v>12510</v>
      </c>
      <c r="BF67" s="379">
        <v>13000</v>
      </c>
    </row>
    <row r="68" spans="1:58" x14ac:dyDescent="0.2">
      <c r="A68" s="380" t="s">
        <v>78</v>
      </c>
      <c r="B68" s="238"/>
      <c r="C68" s="379">
        <v>1540</v>
      </c>
      <c r="D68" s="379">
        <v>1700</v>
      </c>
      <c r="E68" s="379">
        <v>1890</v>
      </c>
      <c r="F68" s="379">
        <v>2040</v>
      </c>
      <c r="G68" s="379">
        <v>2280</v>
      </c>
      <c r="H68" s="379">
        <v>2520</v>
      </c>
      <c r="I68" s="379">
        <v>2710</v>
      </c>
      <c r="J68" s="379">
        <v>3150</v>
      </c>
      <c r="K68" s="379">
        <v>3540</v>
      </c>
      <c r="L68" s="379">
        <v>3720</v>
      </c>
      <c r="M68" s="379">
        <v>3470</v>
      </c>
      <c r="N68" s="379">
        <v>4060</v>
      </c>
      <c r="O68" s="379">
        <v>4340</v>
      </c>
      <c r="P68" s="379">
        <v>4700</v>
      </c>
      <c r="Q68" s="379">
        <v>5700</v>
      </c>
      <c r="R68" s="379">
        <v>5790</v>
      </c>
      <c r="S68" s="379">
        <v>5920</v>
      </c>
      <c r="T68" s="379">
        <v>6120</v>
      </c>
      <c r="U68" s="379">
        <v>6240</v>
      </c>
      <c r="V68" s="379">
        <v>6490</v>
      </c>
      <c r="W68" s="379">
        <v>6680</v>
      </c>
      <c r="X68" s="379">
        <v>7000</v>
      </c>
      <c r="Y68" s="379">
        <v>7270</v>
      </c>
      <c r="Z68" s="379">
        <v>7700</v>
      </c>
      <c r="AA68" s="379">
        <v>7970</v>
      </c>
      <c r="AB68" s="379">
        <v>8110</v>
      </c>
      <c r="AC68" s="379">
        <v>8610</v>
      </c>
      <c r="AD68" s="379">
        <v>8830</v>
      </c>
      <c r="AE68" s="379">
        <v>9220</v>
      </c>
      <c r="AF68" s="379">
        <v>9470</v>
      </c>
      <c r="AG68" s="379">
        <v>9500</v>
      </c>
      <c r="AH68" s="379">
        <v>9480</v>
      </c>
      <c r="AI68" s="379">
        <v>9220</v>
      </c>
      <c r="AJ68" s="379">
        <v>9170</v>
      </c>
      <c r="AK68" s="379">
        <v>9100</v>
      </c>
      <c r="AL68" s="379">
        <v>9210</v>
      </c>
      <c r="AM68" s="379">
        <v>9400</v>
      </c>
      <c r="AN68" s="379">
        <v>9340</v>
      </c>
      <c r="AO68" s="379">
        <v>9550</v>
      </c>
      <c r="AP68" s="379">
        <v>9470</v>
      </c>
      <c r="AQ68" s="379">
        <v>9090</v>
      </c>
      <c r="AR68" s="379">
        <v>8750</v>
      </c>
      <c r="AS68" s="379">
        <v>8520</v>
      </c>
      <c r="AT68" s="379">
        <v>8320</v>
      </c>
      <c r="AU68" s="379">
        <v>8330</v>
      </c>
      <c r="AV68" s="379">
        <v>8270</v>
      </c>
      <c r="AW68" s="379">
        <v>8560</v>
      </c>
      <c r="AX68" s="379">
        <v>8870</v>
      </c>
      <c r="AY68" s="379">
        <v>9200</v>
      </c>
      <c r="AZ68" s="379">
        <v>9550</v>
      </c>
      <c r="BA68" s="379">
        <v>10000</v>
      </c>
      <c r="BB68" s="379">
        <v>10160</v>
      </c>
      <c r="BC68" s="379">
        <v>10370</v>
      </c>
      <c r="BD68" s="379">
        <v>10690</v>
      </c>
      <c r="BE68" s="379">
        <v>11040</v>
      </c>
      <c r="BF68" s="379">
        <v>11620</v>
      </c>
    </row>
    <row r="69" spans="1:58" x14ac:dyDescent="0.2">
      <c r="A69" s="380" t="s">
        <v>79</v>
      </c>
      <c r="B69" s="238"/>
      <c r="C69" s="379">
        <v>1370</v>
      </c>
      <c r="D69" s="379">
        <v>1460</v>
      </c>
      <c r="E69" s="379">
        <v>1600</v>
      </c>
      <c r="F69" s="379">
        <v>1780</v>
      </c>
      <c r="G69" s="379">
        <v>1930</v>
      </c>
      <c r="H69" s="379">
        <v>2150</v>
      </c>
      <c r="I69" s="379">
        <v>2360</v>
      </c>
      <c r="J69" s="379">
        <v>2540</v>
      </c>
      <c r="K69" s="379">
        <v>2950</v>
      </c>
      <c r="L69" s="379">
        <v>3300</v>
      </c>
      <c r="M69" s="379">
        <v>3470</v>
      </c>
      <c r="N69" s="379">
        <v>3240</v>
      </c>
      <c r="O69" s="379">
        <v>3780</v>
      </c>
      <c r="P69" s="379">
        <v>4040</v>
      </c>
      <c r="Q69" s="379">
        <v>4370</v>
      </c>
      <c r="R69" s="379">
        <v>5300</v>
      </c>
      <c r="S69" s="379">
        <v>5380</v>
      </c>
      <c r="T69" s="379">
        <v>5500</v>
      </c>
      <c r="U69" s="379">
        <v>5680</v>
      </c>
      <c r="V69" s="379">
        <v>5780</v>
      </c>
      <c r="W69" s="379">
        <v>6020</v>
      </c>
      <c r="X69" s="379">
        <v>6190</v>
      </c>
      <c r="Y69" s="379">
        <v>6490</v>
      </c>
      <c r="Z69" s="379">
        <v>6740</v>
      </c>
      <c r="AA69" s="379">
        <v>7130</v>
      </c>
      <c r="AB69" s="379">
        <v>7380</v>
      </c>
      <c r="AC69" s="379">
        <v>7510</v>
      </c>
      <c r="AD69" s="379">
        <v>7980</v>
      </c>
      <c r="AE69" s="379">
        <v>8180</v>
      </c>
      <c r="AF69" s="379">
        <v>8530</v>
      </c>
      <c r="AG69" s="379">
        <v>8770</v>
      </c>
      <c r="AH69" s="379">
        <v>8790</v>
      </c>
      <c r="AI69" s="379">
        <v>8770</v>
      </c>
      <c r="AJ69" s="379">
        <v>8530</v>
      </c>
      <c r="AK69" s="379">
        <v>8490</v>
      </c>
      <c r="AL69" s="379">
        <v>8420</v>
      </c>
      <c r="AM69" s="379">
        <v>8520</v>
      </c>
      <c r="AN69" s="379">
        <v>8700</v>
      </c>
      <c r="AO69" s="379">
        <v>8640</v>
      </c>
      <c r="AP69" s="379">
        <v>8830</v>
      </c>
      <c r="AQ69" s="379">
        <v>8760</v>
      </c>
      <c r="AR69" s="379">
        <v>8410</v>
      </c>
      <c r="AS69" s="379">
        <v>8100</v>
      </c>
      <c r="AT69" s="379">
        <v>7880</v>
      </c>
      <c r="AU69" s="379">
        <v>7700</v>
      </c>
      <c r="AV69" s="379">
        <v>7710</v>
      </c>
      <c r="AW69" s="379">
        <v>7650</v>
      </c>
      <c r="AX69" s="379">
        <v>7920</v>
      </c>
      <c r="AY69" s="379">
        <v>8200</v>
      </c>
      <c r="AZ69" s="379">
        <v>8510</v>
      </c>
      <c r="BA69" s="379">
        <v>8840</v>
      </c>
      <c r="BB69" s="379">
        <v>9250</v>
      </c>
      <c r="BC69" s="379">
        <v>9400</v>
      </c>
      <c r="BD69" s="379">
        <v>9600</v>
      </c>
      <c r="BE69" s="379">
        <v>9900</v>
      </c>
      <c r="BF69" s="379">
        <v>10220</v>
      </c>
    </row>
    <row r="70" spans="1:58" x14ac:dyDescent="0.2">
      <c r="A70" s="380" t="s">
        <v>80</v>
      </c>
      <c r="B70" s="238"/>
      <c r="C70" s="379">
        <v>1210</v>
      </c>
      <c r="D70" s="379">
        <v>1300</v>
      </c>
      <c r="E70" s="379">
        <v>1380</v>
      </c>
      <c r="F70" s="379">
        <v>1500</v>
      </c>
      <c r="G70" s="379">
        <v>1660</v>
      </c>
      <c r="H70" s="379">
        <v>1800</v>
      </c>
      <c r="I70" s="379">
        <v>2000</v>
      </c>
      <c r="J70" s="379">
        <v>2200</v>
      </c>
      <c r="K70" s="379">
        <v>2360</v>
      </c>
      <c r="L70" s="379">
        <v>2740</v>
      </c>
      <c r="M70" s="379">
        <v>3060</v>
      </c>
      <c r="N70" s="379">
        <v>3210</v>
      </c>
      <c r="O70" s="379">
        <v>3000</v>
      </c>
      <c r="P70" s="379">
        <v>3500</v>
      </c>
      <c r="Q70" s="379">
        <v>3730</v>
      </c>
      <c r="R70" s="379">
        <v>4040</v>
      </c>
      <c r="S70" s="379">
        <v>4890</v>
      </c>
      <c r="T70" s="379">
        <v>4970</v>
      </c>
      <c r="U70" s="379">
        <v>5080</v>
      </c>
      <c r="V70" s="379">
        <v>5240</v>
      </c>
      <c r="W70" s="379">
        <v>5340</v>
      </c>
      <c r="X70" s="379">
        <v>5560</v>
      </c>
      <c r="Y70" s="379">
        <v>5710</v>
      </c>
      <c r="Z70" s="379">
        <v>5980</v>
      </c>
      <c r="AA70" s="379">
        <v>6220</v>
      </c>
      <c r="AB70" s="379">
        <v>6580</v>
      </c>
      <c r="AC70" s="379">
        <v>6810</v>
      </c>
      <c r="AD70" s="379">
        <v>6920</v>
      </c>
      <c r="AE70" s="379">
        <v>7350</v>
      </c>
      <c r="AF70" s="379">
        <v>7540</v>
      </c>
      <c r="AG70" s="379">
        <v>7870</v>
      </c>
      <c r="AH70" s="379">
        <v>8080</v>
      </c>
      <c r="AI70" s="379">
        <v>8100</v>
      </c>
      <c r="AJ70" s="379">
        <v>8080</v>
      </c>
      <c r="AK70" s="379">
        <v>7860</v>
      </c>
      <c r="AL70" s="379">
        <v>7820</v>
      </c>
      <c r="AM70" s="379">
        <v>7760</v>
      </c>
      <c r="AN70" s="379">
        <v>7860</v>
      </c>
      <c r="AO70" s="379">
        <v>8010</v>
      </c>
      <c r="AP70" s="379">
        <v>7960</v>
      </c>
      <c r="AQ70" s="379">
        <v>8140</v>
      </c>
      <c r="AR70" s="379">
        <v>8070</v>
      </c>
      <c r="AS70" s="379">
        <v>7750</v>
      </c>
      <c r="AT70" s="379">
        <v>7460</v>
      </c>
      <c r="AU70" s="379">
        <v>7270</v>
      </c>
      <c r="AV70" s="379">
        <v>7100</v>
      </c>
      <c r="AW70" s="379">
        <v>7100</v>
      </c>
      <c r="AX70" s="379">
        <v>7050</v>
      </c>
      <c r="AY70" s="379">
        <v>7300</v>
      </c>
      <c r="AZ70" s="379">
        <v>7560</v>
      </c>
      <c r="BA70" s="379">
        <v>7840</v>
      </c>
      <c r="BB70" s="379">
        <v>8150</v>
      </c>
      <c r="BC70" s="379">
        <v>8530</v>
      </c>
      <c r="BD70" s="379">
        <v>8670</v>
      </c>
      <c r="BE70" s="379">
        <v>8860</v>
      </c>
      <c r="BF70" s="379">
        <v>9130</v>
      </c>
    </row>
    <row r="71" spans="1:58" x14ac:dyDescent="0.2">
      <c r="A71" s="380" t="s">
        <v>81</v>
      </c>
      <c r="B71" s="238"/>
      <c r="C71" s="379">
        <v>1000</v>
      </c>
      <c r="D71" s="379">
        <v>1140</v>
      </c>
      <c r="E71" s="379">
        <v>1210</v>
      </c>
      <c r="F71" s="379">
        <v>1280</v>
      </c>
      <c r="G71" s="379">
        <v>1400</v>
      </c>
      <c r="H71" s="379">
        <v>1550</v>
      </c>
      <c r="I71" s="379">
        <v>1670</v>
      </c>
      <c r="J71" s="379">
        <v>1850</v>
      </c>
      <c r="K71" s="379">
        <v>2030</v>
      </c>
      <c r="L71" s="379">
        <v>2180</v>
      </c>
      <c r="M71" s="379">
        <v>2520</v>
      </c>
      <c r="N71" s="379">
        <v>2820</v>
      </c>
      <c r="O71" s="379">
        <v>2960</v>
      </c>
      <c r="P71" s="379">
        <v>2760</v>
      </c>
      <c r="Q71" s="379">
        <v>3220</v>
      </c>
      <c r="R71" s="379">
        <v>3430</v>
      </c>
      <c r="S71" s="379">
        <v>3710</v>
      </c>
      <c r="T71" s="379">
        <v>4500</v>
      </c>
      <c r="U71" s="379">
        <v>4560</v>
      </c>
      <c r="V71" s="379">
        <v>4660</v>
      </c>
      <c r="W71" s="379">
        <v>4820</v>
      </c>
      <c r="X71" s="379">
        <v>4900</v>
      </c>
      <c r="Y71" s="379">
        <v>5100</v>
      </c>
      <c r="Z71" s="379">
        <v>5240</v>
      </c>
      <c r="AA71" s="379">
        <v>5490</v>
      </c>
      <c r="AB71" s="379">
        <v>5700</v>
      </c>
      <c r="AC71" s="379">
        <v>6030</v>
      </c>
      <c r="AD71" s="379">
        <v>6240</v>
      </c>
      <c r="AE71" s="379">
        <v>6350</v>
      </c>
      <c r="AF71" s="379">
        <v>6740</v>
      </c>
      <c r="AG71" s="379">
        <v>6910</v>
      </c>
      <c r="AH71" s="379">
        <v>7210</v>
      </c>
      <c r="AI71" s="379">
        <v>7410</v>
      </c>
      <c r="AJ71" s="379">
        <v>7430</v>
      </c>
      <c r="AK71" s="379">
        <v>7420</v>
      </c>
      <c r="AL71" s="379">
        <v>7210</v>
      </c>
      <c r="AM71" s="379">
        <v>7180</v>
      </c>
      <c r="AN71" s="379">
        <v>7120</v>
      </c>
      <c r="AO71" s="379">
        <v>7210</v>
      </c>
      <c r="AP71" s="379">
        <v>7350</v>
      </c>
      <c r="AQ71" s="379">
        <v>7300</v>
      </c>
      <c r="AR71" s="379">
        <v>7470</v>
      </c>
      <c r="AS71" s="379">
        <v>7410</v>
      </c>
      <c r="AT71" s="379">
        <v>7110</v>
      </c>
      <c r="AU71" s="379">
        <v>6850</v>
      </c>
      <c r="AV71" s="379">
        <v>6670</v>
      </c>
      <c r="AW71" s="379">
        <v>6510</v>
      </c>
      <c r="AX71" s="379">
        <v>6520</v>
      </c>
      <c r="AY71" s="379">
        <v>6470</v>
      </c>
      <c r="AZ71" s="379">
        <v>6700</v>
      </c>
      <c r="BA71" s="379">
        <v>6940</v>
      </c>
      <c r="BB71" s="379">
        <v>7200</v>
      </c>
      <c r="BC71" s="379">
        <v>7490</v>
      </c>
      <c r="BD71" s="379">
        <v>7840</v>
      </c>
      <c r="BE71" s="379">
        <v>7970</v>
      </c>
      <c r="BF71" s="379">
        <v>8140</v>
      </c>
    </row>
    <row r="72" spans="1:58" x14ac:dyDescent="0.2">
      <c r="A72" s="380" t="s">
        <v>82</v>
      </c>
      <c r="B72" s="238"/>
      <c r="C72" s="379">
        <v>830</v>
      </c>
      <c r="D72" s="379">
        <v>940</v>
      </c>
      <c r="E72" s="379">
        <v>1080</v>
      </c>
      <c r="F72" s="379">
        <v>1140</v>
      </c>
      <c r="G72" s="379">
        <v>1200</v>
      </c>
      <c r="H72" s="379">
        <v>1300</v>
      </c>
      <c r="I72" s="379">
        <v>1430</v>
      </c>
      <c r="J72" s="379">
        <v>1550</v>
      </c>
      <c r="K72" s="379">
        <v>1710</v>
      </c>
      <c r="L72" s="379">
        <v>1870</v>
      </c>
      <c r="M72" s="379">
        <v>2010</v>
      </c>
      <c r="N72" s="379">
        <v>2320</v>
      </c>
      <c r="O72" s="379">
        <v>2590</v>
      </c>
      <c r="P72" s="379">
        <v>2710</v>
      </c>
      <c r="Q72" s="379">
        <v>2530</v>
      </c>
      <c r="R72" s="379">
        <v>2950</v>
      </c>
      <c r="S72" s="379">
        <v>3140</v>
      </c>
      <c r="T72" s="379">
        <v>3400</v>
      </c>
      <c r="U72" s="379">
        <v>4110</v>
      </c>
      <c r="V72" s="379">
        <v>4170</v>
      </c>
      <c r="W72" s="379">
        <v>4260</v>
      </c>
      <c r="X72" s="379">
        <v>4400</v>
      </c>
      <c r="Y72" s="379">
        <v>4480</v>
      </c>
      <c r="Z72" s="379">
        <v>4660</v>
      </c>
      <c r="AA72" s="379">
        <v>4790</v>
      </c>
      <c r="AB72" s="379">
        <v>5010</v>
      </c>
      <c r="AC72" s="379">
        <v>5210</v>
      </c>
      <c r="AD72" s="379">
        <v>5510</v>
      </c>
      <c r="AE72" s="379">
        <v>5700</v>
      </c>
      <c r="AF72" s="379">
        <v>5800</v>
      </c>
      <c r="AG72" s="379">
        <v>6160</v>
      </c>
      <c r="AH72" s="379">
        <v>6310</v>
      </c>
      <c r="AI72" s="379">
        <v>6590</v>
      </c>
      <c r="AJ72" s="379">
        <v>6760</v>
      </c>
      <c r="AK72" s="379">
        <v>6790</v>
      </c>
      <c r="AL72" s="379">
        <v>6770</v>
      </c>
      <c r="AM72" s="379">
        <v>6580</v>
      </c>
      <c r="AN72" s="379">
        <v>6550</v>
      </c>
      <c r="AO72" s="379">
        <v>6500</v>
      </c>
      <c r="AP72" s="379">
        <v>6580</v>
      </c>
      <c r="AQ72" s="379">
        <v>6710</v>
      </c>
      <c r="AR72" s="379">
        <v>6670</v>
      </c>
      <c r="AS72" s="379">
        <v>6820</v>
      </c>
      <c r="AT72" s="379">
        <v>6760</v>
      </c>
      <c r="AU72" s="379">
        <v>6500</v>
      </c>
      <c r="AV72" s="379">
        <v>6260</v>
      </c>
      <c r="AW72" s="379">
        <v>6090</v>
      </c>
      <c r="AX72" s="379">
        <v>5940</v>
      </c>
      <c r="AY72" s="379">
        <v>5950</v>
      </c>
      <c r="AZ72" s="379">
        <v>5910</v>
      </c>
      <c r="BA72" s="379">
        <v>6120</v>
      </c>
      <c r="BB72" s="379">
        <v>6340</v>
      </c>
      <c r="BC72" s="379">
        <v>6580</v>
      </c>
      <c r="BD72" s="379">
        <v>6850</v>
      </c>
      <c r="BE72" s="379">
        <v>7170</v>
      </c>
      <c r="BF72" s="379">
        <v>7290</v>
      </c>
    </row>
    <row r="73" spans="1:58" x14ac:dyDescent="0.2">
      <c r="A73" s="380" t="s">
        <v>83</v>
      </c>
      <c r="B73" s="238"/>
      <c r="C73" s="379">
        <v>700</v>
      </c>
      <c r="D73" s="379">
        <v>780</v>
      </c>
      <c r="E73" s="379">
        <v>880</v>
      </c>
      <c r="F73" s="379">
        <v>1000</v>
      </c>
      <c r="G73" s="379">
        <v>1060</v>
      </c>
      <c r="H73" s="379">
        <v>1100</v>
      </c>
      <c r="I73" s="379">
        <v>1200</v>
      </c>
      <c r="J73" s="379">
        <v>1310</v>
      </c>
      <c r="K73" s="379">
        <v>1410</v>
      </c>
      <c r="L73" s="379">
        <v>1560</v>
      </c>
      <c r="M73" s="379">
        <v>1710</v>
      </c>
      <c r="N73" s="379">
        <v>1830</v>
      </c>
      <c r="O73" s="379">
        <v>2110</v>
      </c>
      <c r="P73" s="379">
        <v>2360</v>
      </c>
      <c r="Q73" s="379">
        <v>2470</v>
      </c>
      <c r="R73" s="379">
        <v>2300</v>
      </c>
      <c r="S73" s="379">
        <v>2680</v>
      </c>
      <c r="T73" s="379">
        <v>2860</v>
      </c>
      <c r="U73" s="379">
        <v>3090</v>
      </c>
      <c r="V73" s="379">
        <v>3740</v>
      </c>
      <c r="W73" s="379">
        <v>3790</v>
      </c>
      <c r="X73" s="379">
        <v>3870</v>
      </c>
      <c r="Y73" s="379">
        <v>3990</v>
      </c>
      <c r="Z73" s="379">
        <v>4070</v>
      </c>
      <c r="AA73" s="379">
        <v>4230</v>
      </c>
      <c r="AB73" s="379">
        <v>4340</v>
      </c>
      <c r="AC73" s="379">
        <v>4550</v>
      </c>
      <c r="AD73" s="379">
        <v>4730</v>
      </c>
      <c r="AE73" s="379">
        <v>5000</v>
      </c>
      <c r="AF73" s="379">
        <v>5170</v>
      </c>
      <c r="AG73" s="379">
        <v>5260</v>
      </c>
      <c r="AH73" s="379">
        <v>5590</v>
      </c>
      <c r="AI73" s="379">
        <v>5730</v>
      </c>
      <c r="AJ73" s="379">
        <v>5980</v>
      </c>
      <c r="AK73" s="379">
        <v>6140</v>
      </c>
      <c r="AL73" s="379">
        <v>6160</v>
      </c>
      <c r="AM73" s="379">
        <v>6150</v>
      </c>
      <c r="AN73" s="379">
        <v>5970</v>
      </c>
      <c r="AO73" s="379">
        <v>5950</v>
      </c>
      <c r="AP73" s="379">
        <v>5900</v>
      </c>
      <c r="AQ73" s="379">
        <v>5980</v>
      </c>
      <c r="AR73" s="379">
        <v>6100</v>
      </c>
      <c r="AS73" s="379">
        <v>6060</v>
      </c>
      <c r="AT73" s="379">
        <v>6200</v>
      </c>
      <c r="AU73" s="379">
        <v>6150</v>
      </c>
      <c r="AV73" s="379">
        <v>5900</v>
      </c>
      <c r="AW73" s="379">
        <v>5680</v>
      </c>
      <c r="AX73" s="379">
        <v>5530</v>
      </c>
      <c r="AY73" s="379">
        <v>5400</v>
      </c>
      <c r="AZ73" s="379">
        <v>5410</v>
      </c>
      <c r="BA73" s="379">
        <v>5370</v>
      </c>
      <c r="BB73" s="379">
        <v>5570</v>
      </c>
      <c r="BC73" s="379">
        <v>5770</v>
      </c>
      <c r="BD73" s="379">
        <v>5990</v>
      </c>
      <c r="BE73" s="379">
        <v>6230</v>
      </c>
      <c r="BF73" s="379">
        <v>6530</v>
      </c>
    </row>
    <row r="74" spans="1:58" x14ac:dyDescent="0.2">
      <c r="A74" s="380" t="s">
        <v>84</v>
      </c>
      <c r="B74" s="238"/>
      <c r="C74" s="379">
        <v>540</v>
      </c>
      <c r="D74" s="379">
        <v>640</v>
      </c>
      <c r="E74" s="379">
        <v>720</v>
      </c>
      <c r="F74" s="379">
        <v>800</v>
      </c>
      <c r="G74" s="379">
        <v>910</v>
      </c>
      <c r="H74" s="379">
        <v>970</v>
      </c>
      <c r="I74" s="379">
        <v>1000</v>
      </c>
      <c r="J74" s="379">
        <v>1090</v>
      </c>
      <c r="K74" s="379">
        <v>1190</v>
      </c>
      <c r="L74" s="379">
        <v>1280</v>
      </c>
      <c r="M74" s="379">
        <v>1410</v>
      </c>
      <c r="N74" s="379">
        <v>1550</v>
      </c>
      <c r="O74" s="379">
        <v>1650</v>
      </c>
      <c r="P74" s="379">
        <v>1910</v>
      </c>
      <c r="Q74" s="379">
        <v>2130</v>
      </c>
      <c r="R74" s="379">
        <v>2230</v>
      </c>
      <c r="S74" s="379">
        <v>2080</v>
      </c>
      <c r="T74" s="379">
        <v>2420</v>
      </c>
      <c r="U74" s="379">
        <v>2570</v>
      </c>
      <c r="V74" s="379">
        <v>2780</v>
      </c>
      <c r="W74" s="379">
        <v>3370</v>
      </c>
      <c r="X74" s="379">
        <v>3410</v>
      </c>
      <c r="Y74" s="379">
        <v>3490</v>
      </c>
      <c r="Z74" s="379">
        <v>3600</v>
      </c>
      <c r="AA74" s="379">
        <v>3660</v>
      </c>
      <c r="AB74" s="379">
        <v>3810</v>
      </c>
      <c r="AC74" s="379">
        <v>3910</v>
      </c>
      <c r="AD74" s="379">
        <v>4100</v>
      </c>
      <c r="AE74" s="379">
        <v>4260</v>
      </c>
      <c r="AF74" s="379">
        <v>4500</v>
      </c>
      <c r="AG74" s="379">
        <v>4660</v>
      </c>
      <c r="AH74" s="379">
        <v>4740</v>
      </c>
      <c r="AI74" s="379">
        <v>5040</v>
      </c>
      <c r="AJ74" s="379">
        <v>5160</v>
      </c>
      <c r="AK74" s="379">
        <v>5390</v>
      </c>
      <c r="AL74" s="379">
        <v>5540</v>
      </c>
      <c r="AM74" s="379">
        <v>5550</v>
      </c>
      <c r="AN74" s="379">
        <v>5540</v>
      </c>
      <c r="AO74" s="379">
        <v>5390</v>
      </c>
      <c r="AP74" s="379">
        <v>5370</v>
      </c>
      <c r="AQ74" s="379">
        <v>5330</v>
      </c>
      <c r="AR74" s="379">
        <v>5390</v>
      </c>
      <c r="AS74" s="379">
        <v>5500</v>
      </c>
      <c r="AT74" s="379">
        <v>5470</v>
      </c>
      <c r="AU74" s="379">
        <v>5600</v>
      </c>
      <c r="AV74" s="379">
        <v>5550</v>
      </c>
      <c r="AW74" s="379">
        <v>5330</v>
      </c>
      <c r="AX74" s="379">
        <v>5130</v>
      </c>
      <c r="AY74" s="379">
        <v>4990</v>
      </c>
      <c r="AZ74" s="379">
        <v>4880</v>
      </c>
      <c r="BA74" s="379">
        <v>4890</v>
      </c>
      <c r="BB74" s="379">
        <v>4860</v>
      </c>
      <c r="BC74" s="379">
        <v>5030</v>
      </c>
      <c r="BD74" s="379">
        <v>5220</v>
      </c>
      <c r="BE74" s="379">
        <v>5420</v>
      </c>
      <c r="BF74" s="379">
        <v>5640</v>
      </c>
    </row>
    <row r="75" spans="1:58" x14ac:dyDescent="0.2">
      <c r="A75" s="380" t="s">
        <v>923</v>
      </c>
      <c r="B75" s="238"/>
      <c r="C75" s="379">
        <v>1500</v>
      </c>
      <c r="D75" s="379">
        <v>1900</v>
      </c>
      <c r="E75" s="379">
        <v>2300</v>
      </c>
      <c r="F75" s="379">
        <v>2720</v>
      </c>
      <c r="G75" s="379">
        <v>3150</v>
      </c>
      <c r="H75" s="379">
        <v>3600</v>
      </c>
      <c r="I75" s="379">
        <v>4020</v>
      </c>
      <c r="J75" s="379">
        <v>4390</v>
      </c>
      <c r="K75" s="379">
        <v>4760</v>
      </c>
      <c r="L75" s="379">
        <v>5170</v>
      </c>
      <c r="M75" s="379">
        <v>5580</v>
      </c>
      <c r="N75" s="379">
        <v>6040</v>
      </c>
      <c r="O75" s="379">
        <v>6540</v>
      </c>
      <c r="P75" s="379">
        <v>7060</v>
      </c>
      <c r="Q75" s="379">
        <v>7720</v>
      </c>
      <c r="R75" s="379">
        <v>8480</v>
      </c>
      <c r="S75" s="379">
        <v>9220</v>
      </c>
      <c r="T75" s="379">
        <v>9700</v>
      </c>
      <c r="U75" s="379">
        <v>10410</v>
      </c>
      <c r="V75" s="379">
        <v>11150</v>
      </c>
      <c r="W75" s="379">
        <v>11960</v>
      </c>
      <c r="X75" s="379">
        <v>13170</v>
      </c>
      <c r="Y75" s="379">
        <v>14250</v>
      </c>
      <c r="Z75" s="379">
        <v>15230</v>
      </c>
      <c r="AA75" s="379">
        <v>16170</v>
      </c>
      <c r="AB75" s="379">
        <v>17010</v>
      </c>
      <c r="AC75" s="379">
        <v>17850</v>
      </c>
      <c r="AD75" s="379">
        <v>18650</v>
      </c>
      <c r="AE75" s="379">
        <v>19480</v>
      </c>
      <c r="AF75" s="379">
        <v>20320</v>
      </c>
      <c r="AG75" s="379">
        <v>21240</v>
      </c>
      <c r="AH75" s="379">
        <v>22160</v>
      </c>
      <c r="AI75" s="379">
        <v>23020</v>
      </c>
      <c r="AJ75" s="379">
        <v>24000</v>
      </c>
      <c r="AK75" s="379">
        <v>24960</v>
      </c>
      <c r="AL75" s="379">
        <v>25970</v>
      </c>
      <c r="AM75" s="379">
        <v>26960</v>
      </c>
      <c r="AN75" s="379">
        <v>27830</v>
      </c>
      <c r="AO75" s="379">
        <v>28550</v>
      </c>
      <c r="AP75" s="379">
        <v>29020</v>
      </c>
      <c r="AQ75" s="379">
        <v>29380</v>
      </c>
      <c r="AR75" s="379">
        <v>29630</v>
      </c>
      <c r="AS75" s="379">
        <v>29890</v>
      </c>
      <c r="AT75" s="379">
        <v>30210</v>
      </c>
      <c r="AU75" s="379">
        <v>30430</v>
      </c>
      <c r="AV75" s="379">
        <v>30740</v>
      </c>
      <c r="AW75" s="379">
        <v>30920</v>
      </c>
      <c r="AX75" s="379">
        <v>30890</v>
      </c>
      <c r="AY75" s="379">
        <v>30680</v>
      </c>
      <c r="AZ75" s="379">
        <v>30390</v>
      </c>
      <c r="BA75" s="379">
        <v>30040</v>
      </c>
      <c r="BB75" s="379">
        <v>29750</v>
      </c>
      <c r="BC75" s="379">
        <v>29480</v>
      </c>
      <c r="BD75" s="379">
        <v>29420</v>
      </c>
      <c r="BE75" s="379">
        <v>29560</v>
      </c>
      <c r="BF75" s="379">
        <v>29880</v>
      </c>
    </row>
    <row r="76" spans="1:58" x14ac:dyDescent="0.2">
      <c r="A76" s="376" t="s">
        <v>794</v>
      </c>
      <c r="B76" s="238"/>
      <c r="C76" s="375">
        <f>SUM(C$10:C$75)/1000000</f>
        <v>1.20163</v>
      </c>
      <c r="D76" s="375">
        <f t="shared" ref="D76:BF76" si="2">SUM(D$10:D$75)/1000000</f>
        <v>1.21862</v>
      </c>
      <c r="E76" s="375">
        <f t="shared" si="2"/>
        <v>1.23447</v>
      </c>
      <c r="F76" s="375">
        <f t="shared" si="2"/>
        <v>1.2442500000000001</v>
      </c>
      <c r="G76" s="375">
        <f t="shared" si="2"/>
        <v>1.2581199999999999</v>
      </c>
      <c r="H76" s="375">
        <f t="shared" si="2"/>
        <v>1.27111</v>
      </c>
      <c r="I76" s="375">
        <f t="shared" si="2"/>
        <v>1.28328</v>
      </c>
      <c r="J76" s="375">
        <f t="shared" si="2"/>
        <v>1.2964</v>
      </c>
      <c r="K76" s="375">
        <f t="shared" si="2"/>
        <v>1.3114699999999999</v>
      </c>
      <c r="L76" s="375">
        <f t="shared" si="2"/>
        <v>1.3281700000000001</v>
      </c>
      <c r="M76" s="375">
        <f t="shared" si="2"/>
        <v>1.3448800000000001</v>
      </c>
      <c r="N76" s="375">
        <f t="shared" si="2"/>
        <v>1.36046</v>
      </c>
      <c r="O76" s="375">
        <f t="shared" si="2"/>
        <v>1.3753299999999999</v>
      </c>
      <c r="P76" s="375">
        <f t="shared" si="2"/>
        <v>1.38957</v>
      </c>
      <c r="Q76" s="375">
        <f t="shared" si="2"/>
        <v>1.4030199999999999</v>
      </c>
      <c r="R76" s="375">
        <f t="shared" si="2"/>
        <v>1.41594</v>
      </c>
      <c r="S76" s="375">
        <f t="shared" si="2"/>
        <v>1.4287399999999999</v>
      </c>
      <c r="T76" s="375">
        <f t="shared" si="2"/>
        <v>1.44167</v>
      </c>
      <c r="U76" s="375">
        <f t="shared" si="2"/>
        <v>1.4543900000000001</v>
      </c>
      <c r="V76" s="375">
        <f t="shared" si="2"/>
        <v>1.46688</v>
      </c>
      <c r="W76" s="375">
        <f t="shared" si="2"/>
        <v>1.4789300000000001</v>
      </c>
      <c r="X76" s="375">
        <f t="shared" si="2"/>
        <v>1.4902899999999999</v>
      </c>
      <c r="Y76" s="375">
        <f t="shared" si="2"/>
        <v>1.5012099999999999</v>
      </c>
      <c r="Z76" s="375">
        <f t="shared" si="2"/>
        <v>1.5116799999999999</v>
      </c>
      <c r="AA76" s="375">
        <f t="shared" si="2"/>
        <v>1.52179</v>
      </c>
      <c r="AB76" s="375">
        <f t="shared" si="2"/>
        <v>1.53166</v>
      </c>
      <c r="AC76" s="375">
        <f t="shared" si="2"/>
        <v>1.5413699999999999</v>
      </c>
      <c r="AD76" s="375">
        <f t="shared" si="2"/>
        <v>1.55101</v>
      </c>
      <c r="AE76" s="375">
        <f t="shared" si="2"/>
        <v>1.5605800000000001</v>
      </c>
      <c r="AF76" s="375">
        <f t="shared" si="2"/>
        <v>1.57013</v>
      </c>
      <c r="AG76" s="375">
        <f t="shared" si="2"/>
        <v>1.5796699999999999</v>
      </c>
      <c r="AH76" s="375">
        <f t="shared" si="2"/>
        <v>1.5891500000000001</v>
      </c>
      <c r="AI76" s="375">
        <f t="shared" si="2"/>
        <v>1.5987100000000001</v>
      </c>
      <c r="AJ76" s="375">
        <f t="shared" si="2"/>
        <v>1.6083700000000001</v>
      </c>
      <c r="AK76" s="375">
        <f t="shared" si="2"/>
        <v>1.6181399999999999</v>
      </c>
      <c r="AL76" s="375">
        <f t="shared" si="2"/>
        <v>1.62798</v>
      </c>
      <c r="AM76" s="375">
        <f t="shared" si="2"/>
        <v>1.63788</v>
      </c>
      <c r="AN76" s="375">
        <f t="shared" si="2"/>
        <v>1.64795</v>
      </c>
      <c r="AO76" s="375">
        <f t="shared" si="2"/>
        <v>1.65801</v>
      </c>
      <c r="AP76" s="375">
        <f t="shared" si="2"/>
        <v>1.66798</v>
      </c>
      <c r="AQ76" s="375">
        <f t="shared" si="2"/>
        <v>1.6777299999999999</v>
      </c>
      <c r="AR76" s="375">
        <f t="shared" si="2"/>
        <v>1.6872799999999999</v>
      </c>
      <c r="AS76" s="375">
        <f t="shared" si="2"/>
        <v>1.6966300000000001</v>
      </c>
      <c r="AT76" s="375">
        <f t="shared" si="2"/>
        <v>1.7055400000000001</v>
      </c>
      <c r="AU76" s="375">
        <f t="shared" si="2"/>
        <v>1.71408</v>
      </c>
      <c r="AV76" s="375">
        <f t="shared" si="2"/>
        <v>1.72224</v>
      </c>
      <c r="AW76" s="375">
        <f t="shared" si="2"/>
        <v>1.7298899999999999</v>
      </c>
      <c r="AX76" s="375">
        <f t="shared" si="2"/>
        <v>1.7371399999999999</v>
      </c>
      <c r="AY76" s="375">
        <f t="shared" si="2"/>
        <v>1.7440500000000001</v>
      </c>
      <c r="AZ76" s="375">
        <f t="shared" si="2"/>
        <v>1.75061</v>
      </c>
      <c r="BA76" s="375">
        <f t="shared" si="2"/>
        <v>1.75682</v>
      </c>
      <c r="BB76" s="375">
        <f t="shared" si="2"/>
        <v>1.7625999999999999</v>
      </c>
      <c r="BC76" s="375">
        <f t="shared" si="2"/>
        <v>1.7681</v>
      </c>
      <c r="BD76" s="375">
        <f t="shared" si="2"/>
        <v>1.7733399999999999</v>
      </c>
      <c r="BE76" s="375">
        <f t="shared" si="2"/>
        <v>1.77833</v>
      </c>
      <c r="BF76" s="375">
        <f t="shared" si="2"/>
        <v>1.78311</v>
      </c>
    </row>
    <row r="77" spans="1:58" x14ac:dyDescent="0.2">
      <c r="A77" s="381"/>
      <c r="B77" s="238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</row>
    <row r="78" spans="1:58" x14ac:dyDescent="0.2">
      <c r="A78" s="376" t="s">
        <v>272</v>
      </c>
      <c r="B78" s="238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</row>
    <row r="79" spans="1:58" x14ac:dyDescent="0.2">
      <c r="A79" s="378" t="s">
        <v>20</v>
      </c>
      <c r="B79" s="238"/>
      <c r="C79" s="379">
        <v>11960</v>
      </c>
      <c r="D79" s="379">
        <v>11630</v>
      </c>
      <c r="E79" s="379">
        <v>11540</v>
      </c>
      <c r="F79" s="379">
        <v>8450</v>
      </c>
      <c r="G79" s="379">
        <v>6730</v>
      </c>
      <c r="H79" s="379">
        <v>5910</v>
      </c>
      <c r="I79" s="379">
        <v>5820</v>
      </c>
      <c r="J79" s="379">
        <v>5870</v>
      </c>
      <c r="K79" s="379">
        <v>5930</v>
      </c>
      <c r="L79" s="379">
        <v>6420</v>
      </c>
      <c r="M79" s="379">
        <v>6710</v>
      </c>
      <c r="N79" s="379">
        <v>6850</v>
      </c>
      <c r="O79" s="379">
        <v>7090</v>
      </c>
      <c r="P79" s="379">
        <v>7550</v>
      </c>
      <c r="Q79" s="379">
        <v>7610</v>
      </c>
      <c r="R79" s="379">
        <v>7870</v>
      </c>
      <c r="S79" s="379">
        <v>8190</v>
      </c>
      <c r="T79" s="379">
        <v>8430</v>
      </c>
      <c r="U79" s="379">
        <v>8210</v>
      </c>
      <c r="V79" s="379">
        <v>8400</v>
      </c>
      <c r="W79" s="379">
        <v>8200</v>
      </c>
      <c r="X79" s="379">
        <v>7990</v>
      </c>
      <c r="Y79" s="379">
        <v>8000</v>
      </c>
      <c r="Z79" s="379">
        <v>8020</v>
      </c>
      <c r="AA79" s="379">
        <v>8060</v>
      </c>
      <c r="AB79" s="379">
        <v>8100</v>
      </c>
      <c r="AC79" s="379">
        <v>8150</v>
      </c>
      <c r="AD79" s="379">
        <v>8210</v>
      </c>
      <c r="AE79" s="379">
        <v>8250</v>
      </c>
      <c r="AF79" s="379">
        <v>8300</v>
      </c>
      <c r="AG79" s="379">
        <v>8340</v>
      </c>
      <c r="AH79" s="379">
        <v>8370</v>
      </c>
      <c r="AI79" s="379">
        <v>8390</v>
      </c>
      <c r="AJ79" s="379">
        <v>8410</v>
      </c>
      <c r="AK79" s="379">
        <v>8410</v>
      </c>
      <c r="AL79" s="379">
        <v>8410</v>
      </c>
      <c r="AM79" s="379">
        <v>8410</v>
      </c>
      <c r="AN79" s="379">
        <v>8390</v>
      </c>
      <c r="AO79" s="379">
        <v>8370</v>
      </c>
      <c r="AP79" s="379">
        <v>8350</v>
      </c>
      <c r="AQ79" s="379">
        <v>8330</v>
      </c>
      <c r="AR79" s="379">
        <v>8310</v>
      </c>
      <c r="AS79" s="379">
        <v>8290</v>
      </c>
      <c r="AT79" s="379">
        <v>8280</v>
      </c>
      <c r="AU79" s="379">
        <v>8280</v>
      </c>
      <c r="AV79" s="379">
        <v>8290</v>
      </c>
      <c r="AW79" s="379">
        <v>8310</v>
      </c>
      <c r="AX79" s="379">
        <v>8330</v>
      </c>
      <c r="AY79" s="379">
        <v>8350</v>
      </c>
      <c r="AZ79" s="379">
        <v>8380</v>
      </c>
      <c r="BA79" s="379">
        <v>8410</v>
      </c>
      <c r="BB79" s="379">
        <v>8430</v>
      </c>
      <c r="BC79" s="379">
        <v>8460</v>
      </c>
      <c r="BD79" s="379">
        <v>8480</v>
      </c>
      <c r="BE79" s="379">
        <v>8500</v>
      </c>
      <c r="BF79" s="379">
        <v>8510</v>
      </c>
    </row>
    <row r="80" spans="1:58" x14ac:dyDescent="0.2">
      <c r="A80" s="378" t="s">
        <v>21</v>
      </c>
      <c r="B80" s="238"/>
      <c r="C80" s="379">
        <v>16690</v>
      </c>
      <c r="D80" s="379">
        <v>16850</v>
      </c>
      <c r="E80" s="379">
        <v>16350</v>
      </c>
      <c r="F80" s="379">
        <v>13050</v>
      </c>
      <c r="G80" s="379">
        <v>10820</v>
      </c>
      <c r="H80" s="379">
        <v>10070</v>
      </c>
      <c r="I80" s="379">
        <v>9870</v>
      </c>
      <c r="J80" s="379">
        <v>9840</v>
      </c>
      <c r="K80" s="379">
        <v>10070</v>
      </c>
      <c r="L80" s="379">
        <v>10270</v>
      </c>
      <c r="M80" s="379">
        <v>11360</v>
      </c>
      <c r="N80" s="379">
        <v>11650</v>
      </c>
      <c r="O80" s="379">
        <v>11700</v>
      </c>
      <c r="P80" s="379">
        <v>11950</v>
      </c>
      <c r="Q80" s="379">
        <v>12570</v>
      </c>
      <c r="R80" s="379">
        <v>12530</v>
      </c>
      <c r="S80" s="379">
        <v>12870</v>
      </c>
      <c r="T80" s="379">
        <v>13380</v>
      </c>
      <c r="U80" s="379">
        <v>13770</v>
      </c>
      <c r="V80" s="379">
        <v>13430</v>
      </c>
      <c r="W80" s="379">
        <v>13730</v>
      </c>
      <c r="X80" s="379">
        <v>13410</v>
      </c>
      <c r="Y80" s="379">
        <v>13070</v>
      </c>
      <c r="Z80" s="379">
        <v>13080</v>
      </c>
      <c r="AA80" s="379">
        <v>13110</v>
      </c>
      <c r="AB80" s="379">
        <v>13170</v>
      </c>
      <c r="AC80" s="379">
        <v>13250</v>
      </c>
      <c r="AD80" s="379">
        <v>13330</v>
      </c>
      <c r="AE80" s="379">
        <v>13410</v>
      </c>
      <c r="AF80" s="379">
        <v>13490</v>
      </c>
      <c r="AG80" s="379">
        <v>13570</v>
      </c>
      <c r="AH80" s="379">
        <v>13630</v>
      </c>
      <c r="AI80" s="379">
        <v>13680</v>
      </c>
      <c r="AJ80" s="379">
        <v>13720</v>
      </c>
      <c r="AK80" s="379">
        <v>13740</v>
      </c>
      <c r="AL80" s="379">
        <v>13750</v>
      </c>
      <c r="AM80" s="379">
        <v>13750</v>
      </c>
      <c r="AN80" s="379">
        <v>13740</v>
      </c>
      <c r="AO80" s="379">
        <v>13720</v>
      </c>
      <c r="AP80" s="379">
        <v>13690</v>
      </c>
      <c r="AQ80" s="379">
        <v>13650</v>
      </c>
      <c r="AR80" s="379">
        <v>13620</v>
      </c>
      <c r="AS80" s="379">
        <v>13580</v>
      </c>
      <c r="AT80" s="379">
        <v>13560</v>
      </c>
      <c r="AU80" s="379">
        <v>13540</v>
      </c>
      <c r="AV80" s="379">
        <v>13540</v>
      </c>
      <c r="AW80" s="379">
        <v>13550</v>
      </c>
      <c r="AX80" s="379">
        <v>13580</v>
      </c>
      <c r="AY80" s="379">
        <v>13610</v>
      </c>
      <c r="AZ80" s="379">
        <v>13650</v>
      </c>
      <c r="BA80" s="379">
        <v>13700</v>
      </c>
      <c r="BB80" s="379">
        <v>13740</v>
      </c>
      <c r="BC80" s="379">
        <v>13780</v>
      </c>
      <c r="BD80" s="379">
        <v>13820</v>
      </c>
      <c r="BE80" s="379">
        <v>13850</v>
      </c>
      <c r="BF80" s="379">
        <v>13880</v>
      </c>
    </row>
    <row r="81" spans="1:58" x14ac:dyDescent="0.2">
      <c r="A81" s="378" t="s">
        <v>22</v>
      </c>
      <c r="B81" s="238"/>
      <c r="C81" s="379">
        <v>18780</v>
      </c>
      <c r="D81" s="379">
        <v>19600</v>
      </c>
      <c r="E81" s="379">
        <v>19750</v>
      </c>
      <c r="F81" s="379">
        <v>17040</v>
      </c>
      <c r="G81" s="379">
        <v>15630</v>
      </c>
      <c r="H81" s="379">
        <v>14750</v>
      </c>
      <c r="I81" s="379">
        <v>14730</v>
      </c>
      <c r="J81" s="379">
        <v>14480</v>
      </c>
      <c r="K81" s="379">
        <v>14410</v>
      </c>
      <c r="L81" s="379">
        <v>14570</v>
      </c>
      <c r="M81" s="379">
        <v>14690</v>
      </c>
      <c r="N81" s="379">
        <v>15570</v>
      </c>
      <c r="O81" s="379">
        <v>15460</v>
      </c>
      <c r="P81" s="379">
        <v>15150</v>
      </c>
      <c r="Q81" s="379">
        <v>15180</v>
      </c>
      <c r="R81" s="379">
        <v>15750</v>
      </c>
      <c r="S81" s="379">
        <v>15610</v>
      </c>
      <c r="T81" s="379">
        <v>16030</v>
      </c>
      <c r="U81" s="379">
        <v>16660</v>
      </c>
      <c r="V81" s="379">
        <v>17140</v>
      </c>
      <c r="W81" s="379">
        <v>16720</v>
      </c>
      <c r="X81" s="379">
        <v>17090</v>
      </c>
      <c r="Y81" s="379">
        <v>16690</v>
      </c>
      <c r="Z81" s="379">
        <v>16280</v>
      </c>
      <c r="AA81" s="379">
        <v>16290</v>
      </c>
      <c r="AB81" s="379">
        <v>16330</v>
      </c>
      <c r="AC81" s="379">
        <v>16410</v>
      </c>
      <c r="AD81" s="379">
        <v>16500</v>
      </c>
      <c r="AE81" s="379">
        <v>16600</v>
      </c>
      <c r="AF81" s="379">
        <v>16700</v>
      </c>
      <c r="AG81" s="379">
        <v>16800</v>
      </c>
      <c r="AH81" s="379">
        <v>16890</v>
      </c>
      <c r="AI81" s="379">
        <v>16970</v>
      </c>
      <c r="AJ81" s="379">
        <v>17030</v>
      </c>
      <c r="AK81" s="379">
        <v>17080</v>
      </c>
      <c r="AL81" s="379">
        <v>17110</v>
      </c>
      <c r="AM81" s="379">
        <v>17120</v>
      </c>
      <c r="AN81" s="379">
        <v>17120</v>
      </c>
      <c r="AO81" s="379">
        <v>17110</v>
      </c>
      <c r="AP81" s="379">
        <v>17080</v>
      </c>
      <c r="AQ81" s="379">
        <v>17040</v>
      </c>
      <c r="AR81" s="379">
        <v>17000</v>
      </c>
      <c r="AS81" s="379">
        <v>16960</v>
      </c>
      <c r="AT81" s="379">
        <v>16910</v>
      </c>
      <c r="AU81" s="379">
        <v>16880</v>
      </c>
      <c r="AV81" s="379">
        <v>16860</v>
      </c>
      <c r="AW81" s="379">
        <v>16860</v>
      </c>
      <c r="AX81" s="379">
        <v>16870</v>
      </c>
      <c r="AY81" s="379">
        <v>16910</v>
      </c>
      <c r="AZ81" s="379">
        <v>16950</v>
      </c>
      <c r="BA81" s="379">
        <v>17000</v>
      </c>
      <c r="BB81" s="379">
        <v>17060</v>
      </c>
      <c r="BC81" s="379">
        <v>17110</v>
      </c>
      <c r="BD81" s="379">
        <v>17160</v>
      </c>
      <c r="BE81" s="379">
        <v>17210</v>
      </c>
      <c r="BF81" s="379">
        <v>17250</v>
      </c>
    </row>
    <row r="82" spans="1:58" x14ac:dyDescent="0.2">
      <c r="A82" s="378" t="s">
        <v>23</v>
      </c>
      <c r="B82" s="238"/>
      <c r="C82" s="379">
        <v>19400</v>
      </c>
      <c r="D82" s="379">
        <v>19860</v>
      </c>
      <c r="E82" s="379">
        <v>20710</v>
      </c>
      <c r="F82" s="379">
        <v>20170</v>
      </c>
      <c r="G82" s="379">
        <v>19200</v>
      </c>
      <c r="H82" s="379">
        <v>18860</v>
      </c>
      <c r="I82" s="379">
        <v>18420</v>
      </c>
      <c r="J82" s="379">
        <v>18370</v>
      </c>
      <c r="K82" s="379">
        <v>17970</v>
      </c>
      <c r="L82" s="379">
        <v>17680</v>
      </c>
      <c r="M82" s="379">
        <v>17560</v>
      </c>
      <c r="N82" s="379">
        <v>17180</v>
      </c>
      <c r="O82" s="379">
        <v>17790</v>
      </c>
      <c r="P82" s="379">
        <v>17340</v>
      </c>
      <c r="Q82" s="379">
        <v>16780</v>
      </c>
      <c r="R82" s="379">
        <v>16690</v>
      </c>
      <c r="S82" s="379">
        <v>17260</v>
      </c>
      <c r="T82" s="379">
        <v>17100</v>
      </c>
      <c r="U82" s="379">
        <v>17560</v>
      </c>
      <c r="V82" s="379">
        <v>18250</v>
      </c>
      <c r="W82" s="379">
        <v>18780</v>
      </c>
      <c r="X82" s="379">
        <v>18320</v>
      </c>
      <c r="Y82" s="379">
        <v>18720</v>
      </c>
      <c r="Z82" s="379">
        <v>18290</v>
      </c>
      <c r="AA82" s="379">
        <v>17840</v>
      </c>
      <c r="AB82" s="379">
        <v>17850</v>
      </c>
      <c r="AC82" s="379">
        <v>17890</v>
      </c>
      <c r="AD82" s="379">
        <v>17970</v>
      </c>
      <c r="AE82" s="379">
        <v>18080</v>
      </c>
      <c r="AF82" s="379">
        <v>18190</v>
      </c>
      <c r="AG82" s="379">
        <v>18300</v>
      </c>
      <c r="AH82" s="379">
        <v>18410</v>
      </c>
      <c r="AI82" s="379">
        <v>18510</v>
      </c>
      <c r="AJ82" s="379">
        <v>18590</v>
      </c>
      <c r="AK82" s="379">
        <v>18660</v>
      </c>
      <c r="AL82" s="379">
        <v>18710</v>
      </c>
      <c r="AM82" s="379">
        <v>18740</v>
      </c>
      <c r="AN82" s="379">
        <v>18760</v>
      </c>
      <c r="AO82" s="379">
        <v>18750</v>
      </c>
      <c r="AP82" s="379">
        <v>18740</v>
      </c>
      <c r="AQ82" s="379">
        <v>18710</v>
      </c>
      <c r="AR82" s="379">
        <v>18670</v>
      </c>
      <c r="AS82" s="379">
        <v>18620</v>
      </c>
      <c r="AT82" s="379">
        <v>18570</v>
      </c>
      <c r="AU82" s="379">
        <v>18530</v>
      </c>
      <c r="AV82" s="379">
        <v>18490</v>
      </c>
      <c r="AW82" s="379">
        <v>18470</v>
      </c>
      <c r="AX82" s="379">
        <v>18470</v>
      </c>
      <c r="AY82" s="379">
        <v>18480</v>
      </c>
      <c r="AZ82" s="379">
        <v>18520</v>
      </c>
      <c r="BA82" s="379">
        <v>18570</v>
      </c>
      <c r="BB82" s="379">
        <v>18620</v>
      </c>
      <c r="BC82" s="379">
        <v>18680</v>
      </c>
      <c r="BD82" s="379">
        <v>18740</v>
      </c>
      <c r="BE82" s="379">
        <v>18800</v>
      </c>
      <c r="BF82" s="379">
        <v>18850</v>
      </c>
    </row>
    <row r="83" spans="1:58" x14ac:dyDescent="0.2">
      <c r="A83" s="378" t="s">
        <v>24</v>
      </c>
      <c r="B83" s="238"/>
      <c r="C83" s="379">
        <v>19340</v>
      </c>
      <c r="D83" s="379">
        <v>20050</v>
      </c>
      <c r="E83" s="379">
        <v>20460</v>
      </c>
      <c r="F83" s="379">
        <v>21380</v>
      </c>
      <c r="G83" s="379">
        <v>21680</v>
      </c>
      <c r="H83" s="379">
        <v>20920</v>
      </c>
      <c r="I83" s="379">
        <v>20680</v>
      </c>
      <c r="J83" s="379">
        <v>20190</v>
      </c>
      <c r="K83" s="379">
        <v>20160</v>
      </c>
      <c r="L83" s="379">
        <v>19730</v>
      </c>
      <c r="M83" s="379">
        <v>19370</v>
      </c>
      <c r="N83" s="379">
        <v>19220</v>
      </c>
      <c r="O83" s="379">
        <v>18780</v>
      </c>
      <c r="P83" s="379">
        <v>19410</v>
      </c>
      <c r="Q83" s="379">
        <v>18900</v>
      </c>
      <c r="R83" s="379">
        <v>18260</v>
      </c>
      <c r="S83" s="379">
        <v>18140</v>
      </c>
      <c r="T83" s="379">
        <v>18740</v>
      </c>
      <c r="U83" s="379">
        <v>18540</v>
      </c>
      <c r="V83" s="379">
        <v>19020</v>
      </c>
      <c r="W83" s="379">
        <v>19740</v>
      </c>
      <c r="X83" s="379">
        <v>20290</v>
      </c>
      <c r="Y83" s="379">
        <v>19780</v>
      </c>
      <c r="Z83" s="379">
        <v>20190</v>
      </c>
      <c r="AA83" s="379">
        <v>19720</v>
      </c>
      <c r="AB83" s="379">
        <v>19240</v>
      </c>
      <c r="AC83" s="379">
        <v>19240</v>
      </c>
      <c r="AD83" s="379">
        <v>19280</v>
      </c>
      <c r="AE83" s="379">
        <v>19360</v>
      </c>
      <c r="AF83" s="379">
        <v>19470</v>
      </c>
      <c r="AG83" s="379">
        <v>19590</v>
      </c>
      <c r="AH83" s="379">
        <v>19710</v>
      </c>
      <c r="AI83" s="379">
        <v>19820</v>
      </c>
      <c r="AJ83" s="379">
        <v>19930</v>
      </c>
      <c r="AK83" s="379">
        <v>20020</v>
      </c>
      <c r="AL83" s="379">
        <v>20090</v>
      </c>
      <c r="AM83" s="379">
        <v>20140</v>
      </c>
      <c r="AN83" s="379">
        <v>20180</v>
      </c>
      <c r="AO83" s="379">
        <v>20190</v>
      </c>
      <c r="AP83" s="379">
        <v>20190</v>
      </c>
      <c r="AQ83" s="379">
        <v>20180</v>
      </c>
      <c r="AR83" s="379">
        <v>20150</v>
      </c>
      <c r="AS83" s="379">
        <v>20100</v>
      </c>
      <c r="AT83" s="379">
        <v>20050</v>
      </c>
      <c r="AU83" s="379">
        <v>20000</v>
      </c>
      <c r="AV83" s="379">
        <v>19950</v>
      </c>
      <c r="AW83" s="379">
        <v>19910</v>
      </c>
      <c r="AX83" s="379">
        <v>19890</v>
      </c>
      <c r="AY83" s="379">
        <v>19890</v>
      </c>
      <c r="AZ83" s="379">
        <v>19900</v>
      </c>
      <c r="BA83" s="379">
        <v>19940</v>
      </c>
      <c r="BB83" s="379">
        <v>19990</v>
      </c>
      <c r="BC83" s="379">
        <v>20050</v>
      </c>
      <c r="BD83" s="379">
        <v>20120</v>
      </c>
      <c r="BE83" s="379">
        <v>20180</v>
      </c>
      <c r="BF83" s="379">
        <v>20240</v>
      </c>
    </row>
    <row r="84" spans="1:58" x14ac:dyDescent="0.2">
      <c r="A84" s="378" t="s">
        <v>25</v>
      </c>
      <c r="B84" s="238"/>
      <c r="C84" s="379">
        <v>20120</v>
      </c>
      <c r="D84" s="379">
        <v>19770</v>
      </c>
      <c r="E84" s="379">
        <v>20560</v>
      </c>
      <c r="F84" s="379">
        <v>21090</v>
      </c>
      <c r="G84" s="379">
        <v>22200</v>
      </c>
      <c r="H84" s="379">
        <v>22410</v>
      </c>
      <c r="I84" s="379">
        <v>21520</v>
      </c>
      <c r="J84" s="379">
        <v>21340</v>
      </c>
      <c r="K84" s="379">
        <v>20910</v>
      </c>
      <c r="L84" s="379">
        <v>20950</v>
      </c>
      <c r="M84" s="379">
        <v>20530</v>
      </c>
      <c r="N84" s="379">
        <v>20190</v>
      </c>
      <c r="O84" s="379">
        <v>20040</v>
      </c>
      <c r="P84" s="379">
        <v>19610</v>
      </c>
      <c r="Q84" s="379">
        <v>20270</v>
      </c>
      <c r="R84" s="379">
        <v>19760</v>
      </c>
      <c r="S84" s="379">
        <v>19120</v>
      </c>
      <c r="T84" s="379">
        <v>19010</v>
      </c>
      <c r="U84" s="379">
        <v>19640</v>
      </c>
      <c r="V84" s="379">
        <v>19450</v>
      </c>
      <c r="W84" s="379">
        <v>19960</v>
      </c>
      <c r="X84" s="379">
        <v>20710</v>
      </c>
      <c r="Y84" s="379">
        <v>21290</v>
      </c>
      <c r="Z84" s="379">
        <v>20770</v>
      </c>
      <c r="AA84" s="379">
        <v>21210</v>
      </c>
      <c r="AB84" s="379">
        <v>20730</v>
      </c>
      <c r="AC84" s="379">
        <v>20230</v>
      </c>
      <c r="AD84" s="379">
        <v>20230</v>
      </c>
      <c r="AE84" s="379">
        <v>20280</v>
      </c>
      <c r="AF84" s="379">
        <v>20370</v>
      </c>
      <c r="AG84" s="379">
        <v>20480</v>
      </c>
      <c r="AH84" s="379">
        <v>20610</v>
      </c>
      <c r="AI84" s="379">
        <v>20730</v>
      </c>
      <c r="AJ84" s="379">
        <v>20850</v>
      </c>
      <c r="AK84" s="379">
        <v>20960</v>
      </c>
      <c r="AL84" s="379">
        <v>21050</v>
      </c>
      <c r="AM84" s="379">
        <v>21130</v>
      </c>
      <c r="AN84" s="379">
        <v>21190</v>
      </c>
      <c r="AO84" s="379">
        <v>21220</v>
      </c>
      <c r="AP84" s="379">
        <v>21240</v>
      </c>
      <c r="AQ84" s="379">
        <v>21240</v>
      </c>
      <c r="AR84" s="379">
        <v>21220</v>
      </c>
      <c r="AS84" s="379">
        <v>21190</v>
      </c>
      <c r="AT84" s="379">
        <v>21140</v>
      </c>
      <c r="AU84" s="379">
        <v>21090</v>
      </c>
      <c r="AV84" s="379">
        <v>21040</v>
      </c>
      <c r="AW84" s="379">
        <v>20990</v>
      </c>
      <c r="AX84" s="379">
        <v>20950</v>
      </c>
      <c r="AY84" s="379">
        <v>20920</v>
      </c>
      <c r="AZ84" s="379">
        <v>20920</v>
      </c>
      <c r="BA84" s="379">
        <v>20940</v>
      </c>
      <c r="BB84" s="379">
        <v>20980</v>
      </c>
      <c r="BC84" s="379">
        <v>21030</v>
      </c>
      <c r="BD84" s="379">
        <v>21100</v>
      </c>
      <c r="BE84" s="379">
        <v>21160</v>
      </c>
      <c r="BF84" s="379">
        <v>21230</v>
      </c>
    </row>
    <row r="85" spans="1:58" x14ac:dyDescent="0.2">
      <c r="A85" s="378" t="s">
        <v>26</v>
      </c>
      <c r="B85" s="238"/>
      <c r="C85" s="379">
        <v>20380</v>
      </c>
      <c r="D85" s="379">
        <v>20380</v>
      </c>
      <c r="E85" s="379">
        <v>20050</v>
      </c>
      <c r="F85" s="379">
        <v>21020</v>
      </c>
      <c r="G85" s="379">
        <v>21710</v>
      </c>
      <c r="H85" s="379">
        <v>22710</v>
      </c>
      <c r="I85" s="379">
        <v>22810</v>
      </c>
      <c r="J85" s="379">
        <v>21960</v>
      </c>
      <c r="K85" s="379">
        <v>21870</v>
      </c>
      <c r="L85" s="379">
        <v>21510</v>
      </c>
      <c r="M85" s="379">
        <v>21570</v>
      </c>
      <c r="N85" s="379">
        <v>21150</v>
      </c>
      <c r="O85" s="379">
        <v>20810</v>
      </c>
      <c r="P85" s="379">
        <v>20680</v>
      </c>
      <c r="Q85" s="379">
        <v>20250</v>
      </c>
      <c r="R85" s="379">
        <v>20950</v>
      </c>
      <c r="S85" s="379">
        <v>20440</v>
      </c>
      <c r="T85" s="379">
        <v>19790</v>
      </c>
      <c r="U85" s="379">
        <v>19680</v>
      </c>
      <c r="V85" s="379">
        <v>20340</v>
      </c>
      <c r="W85" s="379">
        <v>20160</v>
      </c>
      <c r="X85" s="379">
        <v>20690</v>
      </c>
      <c r="Y85" s="379">
        <v>21480</v>
      </c>
      <c r="Z85" s="379">
        <v>22080</v>
      </c>
      <c r="AA85" s="379">
        <v>21550</v>
      </c>
      <c r="AB85" s="379">
        <v>22010</v>
      </c>
      <c r="AC85" s="379">
        <v>21520</v>
      </c>
      <c r="AD85" s="379">
        <v>21000</v>
      </c>
      <c r="AE85" s="379">
        <v>21010</v>
      </c>
      <c r="AF85" s="379">
        <v>21070</v>
      </c>
      <c r="AG85" s="379">
        <v>21160</v>
      </c>
      <c r="AH85" s="379">
        <v>21280</v>
      </c>
      <c r="AI85" s="379">
        <v>21400</v>
      </c>
      <c r="AJ85" s="379">
        <v>21530</v>
      </c>
      <c r="AK85" s="379">
        <v>21660</v>
      </c>
      <c r="AL85" s="379">
        <v>21770</v>
      </c>
      <c r="AM85" s="379">
        <v>21870</v>
      </c>
      <c r="AN85" s="379">
        <v>21940</v>
      </c>
      <c r="AO85" s="379">
        <v>22000</v>
      </c>
      <c r="AP85" s="379">
        <v>22040</v>
      </c>
      <c r="AQ85" s="379">
        <v>22060</v>
      </c>
      <c r="AR85" s="379">
        <v>22060</v>
      </c>
      <c r="AS85" s="379">
        <v>22040</v>
      </c>
      <c r="AT85" s="379">
        <v>22010</v>
      </c>
      <c r="AU85" s="379">
        <v>21960</v>
      </c>
      <c r="AV85" s="379">
        <v>21910</v>
      </c>
      <c r="AW85" s="379">
        <v>21850</v>
      </c>
      <c r="AX85" s="379">
        <v>21800</v>
      </c>
      <c r="AY85" s="379">
        <v>21760</v>
      </c>
      <c r="AZ85" s="379">
        <v>21730</v>
      </c>
      <c r="BA85" s="379">
        <v>21730</v>
      </c>
      <c r="BB85" s="379">
        <v>21750</v>
      </c>
      <c r="BC85" s="379">
        <v>21790</v>
      </c>
      <c r="BD85" s="379">
        <v>21850</v>
      </c>
      <c r="BE85" s="379">
        <v>21910</v>
      </c>
      <c r="BF85" s="379">
        <v>21980</v>
      </c>
    </row>
    <row r="86" spans="1:58" x14ac:dyDescent="0.2">
      <c r="A86" s="378" t="s">
        <v>27</v>
      </c>
      <c r="B86" s="238"/>
      <c r="C86" s="379">
        <v>20360</v>
      </c>
      <c r="D86" s="379">
        <v>20440</v>
      </c>
      <c r="E86" s="379">
        <v>20450</v>
      </c>
      <c r="F86" s="379">
        <v>20290</v>
      </c>
      <c r="G86" s="379">
        <v>21390</v>
      </c>
      <c r="H86" s="379">
        <v>21880</v>
      </c>
      <c r="I86" s="379">
        <v>22820</v>
      </c>
      <c r="J86" s="379">
        <v>22960</v>
      </c>
      <c r="K86" s="379">
        <v>22190</v>
      </c>
      <c r="L86" s="379">
        <v>22160</v>
      </c>
      <c r="M86" s="379">
        <v>21800</v>
      </c>
      <c r="N86" s="379">
        <v>21860</v>
      </c>
      <c r="O86" s="379">
        <v>21440</v>
      </c>
      <c r="P86" s="379">
        <v>21100</v>
      </c>
      <c r="Q86" s="379">
        <v>20970</v>
      </c>
      <c r="R86" s="379">
        <v>20530</v>
      </c>
      <c r="S86" s="379">
        <v>21240</v>
      </c>
      <c r="T86" s="379">
        <v>20720</v>
      </c>
      <c r="U86" s="379">
        <v>20070</v>
      </c>
      <c r="V86" s="379">
        <v>19960</v>
      </c>
      <c r="W86" s="379">
        <v>20630</v>
      </c>
      <c r="X86" s="379">
        <v>20440</v>
      </c>
      <c r="Y86" s="379">
        <v>20980</v>
      </c>
      <c r="Z86" s="379">
        <v>21790</v>
      </c>
      <c r="AA86" s="379">
        <v>22400</v>
      </c>
      <c r="AB86" s="379">
        <v>21860</v>
      </c>
      <c r="AC86" s="379">
        <v>22330</v>
      </c>
      <c r="AD86" s="379">
        <v>21830</v>
      </c>
      <c r="AE86" s="379">
        <v>21310</v>
      </c>
      <c r="AF86" s="379">
        <v>21320</v>
      </c>
      <c r="AG86" s="379">
        <v>21370</v>
      </c>
      <c r="AH86" s="379">
        <v>21470</v>
      </c>
      <c r="AI86" s="379">
        <v>21590</v>
      </c>
      <c r="AJ86" s="379">
        <v>21720</v>
      </c>
      <c r="AK86" s="379">
        <v>21850</v>
      </c>
      <c r="AL86" s="379">
        <v>21970</v>
      </c>
      <c r="AM86" s="379">
        <v>22090</v>
      </c>
      <c r="AN86" s="379">
        <v>22190</v>
      </c>
      <c r="AO86" s="379">
        <v>22270</v>
      </c>
      <c r="AP86" s="379">
        <v>22320</v>
      </c>
      <c r="AQ86" s="379">
        <v>22360</v>
      </c>
      <c r="AR86" s="379">
        <v>22380</v>
      </c>
      <c r="AS86" s="379">
        <v>22380</v>
      </c>
      <c r="AT86" s="379">
        <v>22360</v>
      </c>
      <c r="AU86" s="379">
        <v>22330</v>
      </c>
      <c r="AV86" s="379">
        <v>22280</v>
      </c>
      <c r="AW86" s="379">
        <v>22230</v>
      </c>
      <c r="AX86" s="379">
        <v>22170</v>
      </c>
      <c r="AY86" s="379">
        <v>22120</v>
      </c>
      <c r="AZ86" s="379">
        <v>22080</v>
      </c>
      <c r="BA86" s="379">
        <v>22050</v>
      </c>
      <c r="BB86" s="379">
        <v>22050</v>
      </c>
      <c r="BC86" s="379">
        <v>22070</v>
      </c>
      <c r="BD86" s="379">
        <v>22110</v>
      </c>
      <c r="BE86" s="379">
        <v>22170</v>
      </c>
      <c r="BF86" s="379">
        <v>22230</v>
      </c>
    </row>
    <row r="87" spans="1:58" x14ac:dyDescent="0.2">
      <c r="A87" s="378" t="s">
        <v>28</v>
      </c>
      <c r="B87" s="238"/>
      <c r="C87" s="379">
        <v>20330</v>
      </c>
      <c r="D87" s="379">
        <v>20390</v>
      </c>
      <c r="E87" s="379">
        <v>20510</v>
      </c>
      <c r="F87" s="379">
        <v>20640</v>
      </c>
      <c r="G87" s="379">
        <v>20620</v>
      </c>
      <c r="H87" s="379">
        <v>21550</v>
      </c>
      <c r="I87" s="379">
        <v>21990</v>
      </c>
      <c r="J87" s="379">
        <v>22990</v>
      </c>
      <c r="K87" s="379">
        <v>23240</v>
      </c>
      <c r="L87" s="379">
        <v>22540</v>
      </c>
      <c r="M87" s="379">
        <v>22520</v>
      </c>
      <c r="N87" s="379">
        <v>22160</v>
      </c>
      <c r="O87" s="379">
        <v>22220</v>
      </c>
      <c r="P87" s="379">
        <v>21810</v>
      </c>
      <c r="Q87" s="379">
        <v>21470</v>
      </c>
      <c r="R87" s="379">
        <v>21330</v>
      </c>
      <c r="S87" s="379">
        <v>20900</v>
      </c>
      <c r="T87" s="379">
        <v>21620</v>
      </c>
      <c r="U87" s="379">
        <v>21100</v>
      </c>
      <c r="V87" s="379">
        <v>20440</v>
      </c>
      <c r="W87" s="379">
        <v>20330</v>
      </c>
      <c r="X87" s="379">
        <v>21010</v>
      </c>
      <c r="Y87" s="379">
        <v>20830</v>
      </c>
      <c r="Z87" s="379">
        <v>21380</v>
      </c>
      <c r="AA87" s="379">
        <v>22200</v>
      </c>
      <c r="AB87" s="379">
        <v>22820</v>
      </c>
      <c r="AC87" s="379">
        <v>22280</v>
      </c>
      <c r="AD87" s="379">
        <v>22750</v>
      </c>
      <c r="AE87" s="379">
        <v>22250</v>
      </c>
      <c r="AF87" s="379">
        <v>21720</v>
      </c>
      <c r="AG87" s="379">
        <v>21730</v>
      </c>
      <c r="AH87" s="379">
        <v>21780</v>
      </c>
      <c r="AI87" s="379">
        <v>21880</v>
      </c>
      <c r="AJ87" s="379">
        <v>22000</v>
      </c>
      <c r="AK87" s="379">
        <v>22130</v>
      </c>
      <c r="AL87" s="379">
        <v>22260</v>
      </c>
      <c r="AM87" s="379">
        <v>22390</v>
      </c>
      <c r="AN87" s="379">
        <v>22510</v>
      </c>
      <c r="AO87" s="379">
        <v>22610</v>
      </c>
      <c r="AP87" s="379">
        <v>22690</v>
      </c>
      <c r="AQ87" s="379">
        <v>22750</v>
      </c>
      <c r="AR87" s="379">
        <v>22790</v>
      </c>
      <c r="AS87" s="379">
        <v>22810</v>
      </c>
      <c r="AT87" s="379">
        <v>22810</v>
      </c>
      <c r="AU87" s="379">
        <v>22790</v>
      </c>
      <c r="AV87" s="379">
        <v>22760</v>
      </c>
      <c r="AW87" s="379">
        <v>22710</v>
      </c>
      <c r="AX87" s="379">
        <v>22650</v>
      </c>
      <c r="AY87" s="379">
        <v>22600</v>
      </c>
      <c r="AZ87" s="379">
        <v>22540</v>
      </c>
      <c r="BA87" s="379">
        <v>22500</v>
      </c>
      <c r="BB87" s="379">
        <v>22470</v>
      </c>
      <c r="BC87" s="379">
        <v>22470</v>
      </c>
      <c r="BD87" s="379">
        <v>22490</v>
      </c>
      <c r="BE87" s="379">
        <v>22530</v>
      </c>
      <c r="BF87" s="379">
        <v>22590</v>
      </c>
    </row>
    <row r="88" spans="1:58" x14ac:dyDescent="0.2">
      <c r="A88" s="378" t="s">
        <v>29</v>
      </c>
      <c r="B88" s="238"/>
      <c r="C88" s="379">
        <v>19790</v>
      </c>
      <c r="D88" s="379">
        <v>20410</v>
      </c>
      <c r="E88" s="379">
        <v>20480</v>
      </c>
      <c r="F88" s="379">
        <v>20760</v>
      </c>
      <c r="G88" s="379">
        <v>20980</v>
      </c>
      <c r="H88" s="379">
        <v>20850</v>
      </c>
      <c r="I88" s="379">
        <v>21710</v>
      </c>
      <c r="J88" s="379">
        <v>22210</v>
      </c>
      <c r="K88" s="379">
        <v>23330</v>
      </c>
      <c r="L88" s="379">
        <v>23670</v>
      </c>
      <c r="M88" s="379">
        <v>22970</v>
      </c>
      <c r="N88" s="379">
        <v>22950</v>
      </c>
      <c r="O88" s="379">
        <v>22600</v>
      </c>
      <c r="P88" s="379">
        <v>22670</v>
      </c>
      <c r="Q88" s="379">
        <v>22250</v>
      </c>
      <c r="R88" s="379">
        <v>21910</v>
      </c>
      <c r="S88" s="379">
        <v>21790</v>
      </c>
      <c r="T88" s="379">
        <v>21350</v>
      </c>
      <c r="U88" s="379">
        <v>22080</v>
      </c>
      <c r="V88" s="379">
        <v>21560</v>
      </c>
      <c r="W88" s="379">
        <v>20890</v>
      </c>
      <c r="X88" s="379">
        <v>20790</v>
      </c>
      <c r="Y88" s="379">
        <v>21480</v>
      </c>
      <c r="Z88" s="379">
        <v>21300</v>
      </c>
      <c r="AA88" s="379">
        <v>21860</v>
      </c>
      <c r="AB88" s="379">
        <v>22690</v>
      </c>
      <c r="AC88" s="379">
        <v>23330</v>
      </c>
      <c r="AD88" s="379">
        <v>22780</v>
      </c>
      <c r="AE88" s="379">
        <v>23260</v>
      </c>
      <c r="AF88" s="379">
        <v>22750</v>
      </c>
      <c r="AG88" s="379">
        <v>22210</v>
      </c>
      <c r="AH88" s="379">
        <v>22220</v>
      </c>
      <c r="AI88" s="379">
        <v>22270</v>
      </c>
      <c r="AJ88" s="379">
        <v>22370</v>
      </c>
      <c r="AK88" s="379">
        <v>22500</v>
      </c>
      <c r="AL88" s="379">
        <v>22630</v>
      </c>
      <c r="AM88" s="379">
        <v>22760</v>
      </c>
      <c r="AN88" s="379">
        <v>22900</v>
      </c>
      <c r="AO88" s="379">
        <v>23010</v>
      </c>
      <c r="AP88" s="379">
        <v>23120</v>
      </c>
      <c r="AQ88" s="379">
        <v>23200</v>
      </c>
      <c r="AR88" s="379">
        <v>23260</v>
      </c>
      <c r="AS88" s="379">
        <v>23300</v>
      </c>
      <c r="AT88" s="379">
        <v>23320</v>
      </c>
      <c r="AU88" s="379">
        <v>23320</v>
      </c>
      <c r="AV88" s="379">
        <v>23300</v>
      </c>
      <c r="AW88" s="379">
        <v>23270</v>
      </c>
      <c r="AX88" s="379">
        <v>23220</v>
      </c>
      <c r="AY88" s="379">
        <v>23160</v>
      </c>
      <c r="AZ88" s="379">
        <v>23100</v>
      </c>
      <c r="BA88" s="379">
        <v>23050</v>
      </c>
      <c r="BB88" s="379">
        <v>23000</v>
      </c>
      <c r="BC88" s="379">
        <v>22980</v>
      </c>
      <c r="BD88" s="379">
        <v>22970</v>
      </c>
      <c r="BE88" s="379">
        <v>23000</v>
      </c>
      <c r="BF88" s="379">
        <v>23040</v>
      </c>
    </row>
    <row r="89" spans="1:58" x14ac:dyDescent="0.2">
      <c r="A89" s="380" t="s">
        <v>30</v>
      </c>
      <c r="B89" s="238"/>
      <c r="C89" s="379">
        <v>19440</v>
      </c>
      <c r="D89" s="379">
        <v>20010</v>
      </c>
      <c r="E89" s="379">
        <v>20570</v>
      </c>
      <c r="F89" s="379">
        <v>20850</v>
      </c>
      <c r="G89" s="379">
        <v>21180</v>
      </c>
      <c r="H89" s="379">
        <v>21320</v>
      </c>
      <c r="I89" s="379">
        <v>21150</v>
      </c>
      <c r="J89" s="379">
        <v>22080</v>
      </c>
      <c r="K89" s="379">
        <v>22700</v>
      </c>
      <c r="L89" s="379">
        <v>23930</v>
      </c>
      <c r="M89" s="379">
        <v>24280</v>
      </c>
      <c r="N89" s="379">
        <v>23580</v>
      </c>
      <c r="O89" s="379">
        <v>23570</v>
      </c>
      <c r="P89" s="379">
        <v>23210</v>
      </c>
      <c r="Q89" s="379">
        <v>23300</v>
      </c>
      <c r="R89" s="379">
        <v>22880</v>
      </c>
      <c r="S89" s="379">
        <v>22540</v>
      </c>
      <c r="T89" s="379">
        <v>22420</v>
      </c>
      <c r="U89" s="379">
        <v>21980</v>
      </c>
      <c r="V89" s="379">
        <v>22730</v>
      </c>
      <c r="W89" s="379">
        <v>22200</v>
      </c>
      <c r="X89" s="379">
        <v>21520</v>
      </c>
      <c r="Y89" s="379">
        <v>21420</v>
      </c>
      <c r="Z89" s="379">
        <v>22130</v>
      </c>
      <c r="AA89" s="379">
        <v>21950</v>
      </c>
      <c r="AB89" s="379">
        <v>22520</v>
      </c>
      <c r="AC89" s="379">
        <v>23370</v>
      </c>
      <c r="AD89" s="379">
        <v>24010</v>
      </c>
      <c r="AE89" s="379">
        <v>23460</v>
      </c>
      <c r="AF89" s="379">
        <v>23950</v>
      </c>
      <c r="AG89" s="379">
        <v>23420</v>
      </c>
      <c r="AH89" s="379">
        <v>22880</v>
      </c>
      <c r="AI89" s="379">
        <v>22890</v>
      </c>
      <c r="AJ89" s="379">
        <v>22940</v>
      </c>
      <c r="AK89" s="379">
        <v>23040</v>
      </c>
      <c r="AL89" s="379">
        <v>23170</v>
      </c>
      <c r="AM89" s="379">
        <v>23310</v>
      </c>
      <c r="AN89" s="379">
        <v>23440</v>
      </c>
      <c r="AO89" s="379">
        <v>23580</v>
      </c>
      <c r="AP89" s="379">
        <v>23700</v>
      </c>
      <c r="AQ89" s="379">
        <v>23800</v>
      </c>
      <c r="AR89" s="379">
        <v>23890</v>
      </c>
      <c r="AS89" s="379">
        <v>23950</v>
      </c>
      <c r="AT89" s="379">
        <v>23990</v>
      </c>
      <c r="AU89" s="379">
        <v>24010</v>
      </c>
      <c r="AV89" s="379">
        <v>24010</v>
      </c>
      <c r="AW89" s="379">
        <v>23990</v>
      </c>
      <c r="AX89" s="379">
        <v>23950</v>
      </c>
      <c r="AY89" s="379">
        <v>23910</v>
      </c>
      <c r="AZ89" s="379">
        <v>23850</v>
      </c>
      <c r="BA89" s="379">
        <v>23790</v>
      </c>
      <c r="BB89" s="379">
        <v>23730</v>
      </c>
      <c r="BC89" s="379">
        <v>23690</v>
      </c>
      <c r="BD89" s="379">
        <v>23660</v>
      </c>
      <c r="BE89" s="379">
        <v>23660</v>
      </c>
      <c r="BF89" s="379">
        <v>23680</v>
      </c>
    </row>
    <row r="90" spans="1:58" x14ac:dyDescent="0.2">
      <c r="A90" s="380" t="s">
        <v>31</v>
      </c>
      <c r="B90" s="238"/>
      <c r="C90" s="379">
        <v>19370</v>
      </c>
      <c r="D90" s="379">
        <v>19770</v>
      </c>
      <c r="E90" s="379">
        <v>20240</v>
      </c>
      <c r="F90" s="379">
        <v>20980</v>
      </c>
      <c r="G90" s="379">
        <v>21380</v>
      </c>
      <c r="H90" s="379">
        <v>21490</v>
      </c>
      <c r="I90" s="379">
        <v>21720</v>
      </c>
      <c r="J90" s="379">
        <v>21600</v>
      </c>
      <c r="K90" s="379">
        <v>22650</v>
      </c>
      <c r="L90" s="379">
        <v>23350</v>
      </c>
      <c r="M90" s="379">
        <v>24600</v>
      </c>
      <c r="N90" s="379">
        <v>24970</v>
      </c>
      <c r="O90" s="379">
        <v>24260</v>
      </c>
      <c r="P90" s="379">
        <v>24250</v>
      </c>
      <c r="Q90" s="379">
        <v>23900</v>
      </c>
      <c r="R90" s="379">
        <v>23990</v>
      </c>
      <c r="S90" s="379">
        <v>23570</v>
      </c>
      <c r="T90" s="379">
        <v>23220</v>
      </c>
      <c r="U90" s="379">
        <v>23100</v>
      </c>
      <c r="V90" s="379">
        <v>22660</v>
      </c>
      <c r="W90" s="379">
        <v>23420</v>
      </c>
      <c r="X90" s="379">
        <v>22890</v>
      </c>
      <c r="Y90" s="379">
        <v>22200</v>
      </c>
      <c r="Z90" s="379">
        <v>22100</v>
      </c>
      <c r="AA90" s="379">
        <v>22820</v>
      </c>
      <c r="AB90" s="379">
        <v>22630</v>
      </c>
      <c r="AC90" s="379">
        <v>23210</v>
      </c>
      <c r="AD90" s="379">
        <v>24070</v>
      </c>
      <c r="AE90" s="379">
        <v>24730</v>
      </c>
      <c r="AF90" s="379">
        <v>24160</v>
      </c>
      <c r="AG90" s="379">
        <v>24660</v>
      </c>
      <c r="AH90" s="379">
        <v>24130</v>
      </c>
      <c r="AI90" s="379">
        <v>23570</v>
      </c>
      <c r="AJ90" s="379">
        <v>23580</v>
      </c>
      <c r="AK90" s="379">
        <v>23640</v>
      </c>
      <c r="AL90" s="379">
        <v>23740</v>
      </c>
      <c r="AM90" s="379">
        <v>23870</v>
      </c>
      <c r="AN90" s="379">
        <v>24010</v>
      </c>
      <c r="AO90" s="379">
        <v>24150</v>
      </c>
      <c r="AP90" s="379">
        <v>24280</v>
      </c>
      <c r="AQ90" s="379">
        <v>24410</v>
      </c>
      <c r="AR90" s="379">
        <v>24510</v>
      </c>
      <c r="AS90" s="379">
        <v>24600</v>
      </c>
      <c r="AT90" s="379">
        <v>24660</v>
      </c>
      <c r="AU90" s="379">
        <v>24700</v>
      </c>
      <c r="AV90" s="379">
        <v>24720</v>
      </c>
      <c r="AW90" s="379">
        <v>24720</v>
      </c>
      <c r="AX90" s="379">
        <v>24700</v>
      </c>
      <c r="AY90" s="379">
        <v>24670</v>
      </c>
      <c r="AZ90" s="379">
        <v>24620</v>
      </c>
      <c r="BA90" s="379">
        <v>24560</v>
      </c>
      <c r="BB90" s="379">
        <v>24500</v>
      </c>
      <c r="BC90" s="379">
        <v>24440</v>
      </c>
      <c r="BD90" s="379">
        <v>24400</v>
      </c>
      <c r="BE90" s="379">
        <v>24370</v>
      </c>
      <c r="BF90" s="379">
        <v>24370</v>
      </c>
    </row>
    <row r="91" spans="1:58" x14ac:dyDescent="0.2">
      <c r="A91" s="380" t="s">
        <v>32</v>
      </c>
      <c r="B91" s="238"/>
      <c r="C91" s="379">
        <v>19510</v>
      </c>
      <c r="D91" s="379">
        <v>19750</v>
      </c>
      <c r="E91" s="379">
        <v>20120</v>
      </c>
      <c r="F91" s="379">
        <v>20730</v>
      </c>
      <c r="G91" s="379">
        <v>21470</v>
      </c>
      <c r="H91" s="379">
        <v>21670</v>
      </c>
      <c r="I91" s="379">
        <v>21850</v>
      </c>
      <c r="J91" s="379">
        <v>22130</v>
      </c>
      <c r="K91" s="379">
        <v>22100</v>
      </c>
      <c r="L91" s="379">
        <v>23220</v>
      </c>
      <c r="M91" s="379">
        <v>23930</v>
      </c>
      <c r="N91" s="379">
        <v>25180</v>
      </c>
      <c r="O91" s="379">
        <v>25540</v>
      </c>
      <c r="P91" s="379">
        <v>24830</v>
      </c>
      <c r="Q91" s="379">
        <v>24820</v>
      </c>
      <c r="R91" s="379">
        <v>24460</v>
      </c>
      <c r="S91" s="379">
        <v>24540</v>
      </c>
      <c r="T91" s="379">
        <v>24110</v>
      </c>
      <c r="U91" s="379">
        <v>23770</v>
      </c>
      <c r="V91" s="379">
        <v>23640</v>
      </c>
      <c r="W91" s="379">
        <v>23190</v>
      </c>
      <c r="X91" s="379">
        <v>23960</v>
      </c>
      <c r="Y91" s="379">
        <v>23420</v>
      </c>
      <c r="Z91" s="379">
        <v>22730</v>
      </c>
      <c r="AA91" s="379">
        <v>22620</v>
      </c>
      <c r="AB91" s="379">
        <v>23340</v>
      </c>
      <c r="AC91" s="379">
        <v>23150</v>
      </c>
      <c r="AD91" s="379">
        <v>23740</v>
      </c>
      <c r="AE91" s="379">
        <v>24600</v>
      </c>
      <c r="AF91" s="379">
        <v>25250</v>
      </c>
      <c r="AG91" s="379">
        <v>24680</v>
      </c>
      <c r="AH91" s="379">
        <v>25180</v>
      </c>
      <c r="AI91" s="379">
        <v>24650</v>
      </c>
      <c r="AJ91" s="379">
        <v>24090</v>
      </c>
      <c r="AK91" s="379">
        <v>24100</v>
      </c>
      <c r="AL91" s="379">
        <v>24160</v>
      </c>
      <c r="AM91" s="379">
        <v>24260</v>
      </c>
      <c r="AN91" s="379">
        <v>24390</v>
      </c>
      <c r="AO91" s="379">
        <v>24530</v>
      </c>
      <c r="AP91" s="379">
        <v>24670</v>
      </c>
      <c r="AQ91" s="379">
        <v>24800</v>
      </c>
      <c r="AR91" s="379">
        <v>24930</v>
      </c>
      <c r="AS91" s="379">
        <v>25030</v>
      </c>
      <c r="AT91" s="379">
        <v>25120</v>
      </c>
      <c r="AU91" s="379">
        <v>25180</v>
      </c>
      <c r="AV91" s="379">
        <v>25220</v>
      </c>
      <c r="AW91" s="379">
        <v>25240</v>
      </c>
      <c r="AX91" s="379">
        <v>25240</v>
      </c>
      <c r="AY91" s="379">
        <v>25230</v>
      </c>
      <c r="AZ91" s="379">
        <v>25190</v>
      </c>
      <c r="BA91" s="379">
        <v>25140</v>
      </c>
      <c r="BB91" s="379">
        <v>25080</v>
      </c>
      <c r="BC91" s="379">
        <v>25020</v>
      </c>
      <c r="BD91" s="379">
        <v>24960</v>
      </c>
      <c r="BE91" s="379">
        <v>24920</v>
      </c>
      <c r="BF91" s="379">
        <v>24890</v>
      </c>
    </row>
    <row r="92" spans="1:58" x14ac:dyDescent="0.2">
      <c r="A92" s="380" t="s">
        <v>33</v>
      </c>
      <c r="B92" s="238"/>
      <c r="C92" s="379">
        <v>19080</v>
      </c>
      <c r="D92" s="379">
        <v>19930</v>
      </c>
      <c r="E92" s="379">
        <v>20130</v>
      </c>
      <c r="F92" s="379">
        <v>20590</v>
      </c>
      <c r="G92" s="379">
        <v>21200</v>
      </c>
      <c r="H92" s="379">
        <v>21870</v>
      </c>
      <c r="I92" s="379">
        <v>22020</v>
      </c>
      <c r="J92" s="379">
        <v>22250</v>
      </c>
      <c r="K92" s="379">
        <v>22610</v>
      </c>
      <c r="L92" s="379">
        <v>22650</v>
      </c>
      <c r="M92" s="379">
        <v>23770</v>
      </c>
      <c r="N92" s="379">
        <v>24480</v>
      </c>
      <c r="O92" s="379">
        <v>25740</v>
      </c>
      <c r="P92" s="379">
        <v>26100</v>
      </c>
      <c r="Q92" s="379">
        <v>25380</v>
      </c>
      <c r="R92" s="379">
        <v>25370</v>
      </c>
      <c r="S92" s="379">
        <v>25000</v>
      </c>
      <c r="T92" s="379">
        <v>25090</v>
      </c>
      <c r="U92" s="379">
        <v>24660</v>
      </c>
      <c r="V92" s="379">
        <v>24310</v>
      </c>
      <c r="W92" s="379">
        <v>24180</v>
      </c>
      <c r="X92" s="379">
        <v>23720</v>
      </c>
      <c r="Y92" s="379">
        <v>24490</v>
      </c>
      <c r="Z92" s="379">
        <v>23950</v>
      </c>
      <c r="AA92" s="379">
        <v>23250</v>
      </c>
      <c r="AB92" s="379">
        <v>23150</v>
      </c>
      <c r="AC92" s="379">
        <v>23870</v>
      </c>
      <c r="AD92" s="379">
        <v>23680</v>
      </c>
      <c r="AE92" s="379">
        <v>24260</v>
      </c>
      <c r="AF92" s="379">
        <v>25120</v>
      </c>
      <c r="AG92" s="379">
        <v>25780</v>
      </c>
      <c r="AH92" s="379">
        <v>25210</v>
      </c>
      <c r="AI92" s="379">
        <v>25710</v>
      </c>
      <c r="AJ92" s="379">
        <v>25170</v>
      </c>
      <c r="AK92" s="379">
        <v>24610</v>
      </c>
      <c r="AL92" s="379">
        <v>24620</v>
      </c>
      <c r="AM92" s="379">
        <v>24680</v>
      </c>
      <c r="AN92" s="379">
        <v>24780</v>
      </c>
      <c r="AO92" s="379">
        <v>24910</v>
      </c>
      <c r="AP92" s="379">
        <v>25050</v>
      </c>
      <c r="AQ92" s="379">
        <v>25190</v>
      </c>
      <c r="AR92" s="379">
        <v>25330</v>
      </c>
      <c r="AS92" s="379">
        <v>25460</v>
      </c>
      <c r="AT92" s="379">
        <v>25560</v>
      </c>
      <c r="AU92" s="379">
        <v>25650</v>
      </c>
      <c r="AV92" s="379">
        <v>25710</v>
      </c>
      <c r="AW92" s="379">
        <v>25750</v>
      </c>
      <c r="AX92" s="379">
        <v>25770</v>
      </c>
      <c r="AY92" s="379">
        <v>25770</v>
      </c>
      <c r="AZ92" s="379">
        <v>25760</v>
      </c>
      <c r="BA92" s="379">
        <v>25720</v>
      </c>
      <c r="BB92" s="379">
        <v>25670</v>
      </c>
      <c r="BC92" s="379">
        <v>25610</v>
      </c>
      <c r="BD92" s="379">
        <v>25550</v>
      </c>
      <c r="BE92" s="379">
        <v>25490</v>
      </c>
      <c r="BF92" s="379">
        <v>25450</v>
      </c>
    </row>
    <row r="93" spans="1:58" x14ac:dyDescent="0.2">
      <c r="A93" s="380" t="s">
        <v>34</v>
      </c>
      <c r="B93" s="238"/>
      <c r="C93" s="379">
        <v>19630</v>
      </c>
      <c r="D93" s="379">
        <v>19430</v>
      </c>
      <c r="E93" s="379">
        <v>20220</v>
      </c>
      <c r="F93" s="379">
        <v>20490</v>
      </c>
      <c r="G93" s="379">
        <v>20930</v>
      </c>
      <c r="H93" s="379">
        <v>21470</v>
      </c>
      <c r="I93" s="379">
        <v>22080</v>
      </c>
      <c r="J93" s="379">
        <v>22260</v>
      </c>
      <c r="K93" s="379">
        <v>22560</v>
      </c>
      <c r="L93" s="379">
        <v>22980</v>
      </c>
      <c r="M93" s="379">
        <v>23000</v>
      </c>
      <c r="N93" s="379">
        <v>24120</v>
      </c>
      <c r="O93" s="379">
        <v>24820</v>
      </c>
      <c r="P93" s="379">
        <v>26070</v>
      </c>
      <c r="Q93" s="379">
        <v>26430</v>
      </c>
      <c r="R93" s="379">
        <v>25700</v>
      </c>
      <c r="S93" s="379">
        <v>25690</v>
      </c>
      <c r="T93" s="379">
        <v>25320</v>
      </c>
      <c r="U93" s="379">
        <v>25390</v>
      </c>
      <c r="V93" s="379">
        <v>24960</v>
      </c>
      <c r="W93" s="379">
        <v>24610</v>
      </c>
      <c r="X93" s="379">
        <v>24480</v>
      </c>
      <c r="Y93" s="379">
        <v>24020</v>
      </c>
      <c r="Z93" s="379">
        <v>24790</v>
      </c>
      <c r="AA93" s="379">
        <v>24240</v>
      </c>
      <c r="AB93" s="379">
        <v>23550</v>
      </c>
      <c r="AC93" s="379">
        <v>23440</v>
      </c>
      <c r="AD93" s="379">
        <v>24160</v>
      </c>
      <c r="AE93" s="379">
        <v>23960</v>
      </c>
      <c r="AF93" s="379">
        <v>24540</v>
      </c>
      <c r="AG93" s="379">
        <v>25400</v>
      </c>
      <c r="AH93" s="379">
        <v>26050</v>
      </c>
      <c r="AI93" s="379">
        <v>25480</v>
      </c>
      <c r="AJ93" s="379">
        <v>25980</v>
      </c>
      <c r="AK93" s="379">
        <v>25450</v>
      </c>
      <c r="AL93" s="379">
        <v>24890</v>
      </c>
      <c r="AM93" s="379">
        <v>24900</v>
      </c>
      <c r="AN93" s="379">
        <v>24960</v>
      </c>
      <c r="AO93" s="379">
        <v>25060</v>
      </c>
      <c r="AP93" s="379">
        <v>25190</v>
      </c>
      <c r="AQ93" s="379">
        <v>25330</v>
      </c>
      <c r="AR93" s="379">
        <v>25470</v>
      </c>
      <c r="AS93" s="379">
        <v>25600</v>
      </c>
      <c r="AT93" s="379">
        <v>25730</v>
      </c>
      <c r="AU93" s="379">
        <v>25830</v>
      </c>
      <c r="AV93" s="379">
        <v>25920</v>
      </c>
      <c r="AW93" s="379">
        <v>25980</v>
      </c>
      <c r="AX93" s="379">
        <v>26020</v>
      </c>
      <c r="AY93" s="379">
        <v>26040</v>
      </c>
      <c r="AZ93" s="379">
        <v>26050</v>
      </c>
      <c r="BA93" s="379">
        <v>26030</v>
      </c>
      <c r="BB93" s="379">
        <v>25990</v>
      </c>
      <c r="BC93" s="379">
        <v>25940</v>
      </c>
      <c r="BD93" s="379">
        <v>25880</v>
      </c>
      <c r="BE93" s="379">
        <v>25820</v>
      </c>
      <c r="BF93" s="379">
        <v>25770</v>
      </c>
    </row>
    <row r="94" spans="1:58" x14ac:dyDescent="0.2">
      <c r="A94" s="380" t="s">
        <v>35</v>
      </c>
      <c r="B94" s="238"/>
      <c r="C94" s="379">
        <v>19760</v>
      </c>
      <c r="D94" s="379">
        <v>19920</v>
      </c>
      <c r="E94" s="379">
        <v>19690</v>
      </c>
      <c r="F94" s="379">
        <v>20540</v>
      </c>
      <c r="G94" s="379">
        <v>20830</v>
      </c>
      <c r="H94" s="379">
        <v>21140</v>
      </c>
      <c r="I94" s="379">
        <v>21660</v>
      </c>
      <c r="J94" s="379">
        <v>22290</v>
      </c>
      <c r="K94" s="379">
        <v>22550</v>
      </c>
      <c r="L94" s="379">
        <v>22890</v>
      </c>
      <c r="M94" s="379">
        <v>23300</v>
      </c>
      <c r="N94" s="379">
        <v>23330</v>
      </c>
      <c r="O94" s="379">
        <v>24440</v>
      </c>
      <c r="P94" s="379">
        <v>25140</v>
      </c>
      <c r="Q94" s="379">
        <v>26380</v>
      </c>
      <c r="R94" s="379">
        <v>26730</v>
      </c>
      <c r="S94" s="379">
        <v>26010</v>
      </c>
      <c r="T94" s="379">
        <v>25990</v>
      </c>
      <c r="U94" s="379">
        <v>25620</v>
      </c>
      <c r="V94" s="379">
        <v>25700</v>
      </c>
      <c r="W94" s="379">
        <v>25270</v>
      </c>
      <c r="X94" s="379">
        <v>24910</v>
      </c>
      <c r="Y94" s="379">
        <v>24780</v>
      </c>
      <c r="Z94" s="379">
        <v>24330</v>
      </c>
      <c r="AA94" s="379">
        <v>25080</v>
      </c>
      <c r="AB94" s="379">
        <v>24540</v>
      </c>
      <c r="AC94" s="379">
        <v>23850</v>
      </c>
      <c r="AD94" s="379">
        <v>23740</v>
      </c>
      <c r="AE94" s="379">
        <v>24450</v>
      </c>
      <c r="AF94" s="379">
        <v>24260</v>
      </c>
      <c r="AG94" s="379">
        <v>24830</v>
      </c>
      <c r="AH94" s="379">
        <v>25690</v>
      </c>
      <c r="AI94" s="379">
        <v>26340</v>
      </c>
      <c r="AJ94" s="379">
        <v>25770</v>
      </c>
      <c r="AK94" s="379">
        <v>26260</v>
      </c>
      <c r="AL94" s="379">
        <v>25730</v>
      </c>
      <c r="AM94" s="379">
        <v>25180</v>
      </c>
      <c r="AN94" s="379">
        <v>25190</v>
      </c>
      <c r="AO94" s="379">
        <v>25250</v>
      </c>
      <c r="AP94" s="379">
        <v>25350</v>
      </c>
      <c r="AQ94" s="379">
        <v>25480</v>
      </c>
      <c r="AR94" s="379">
        <v>25620</v>
      </c>
      <c r="AS94" s="379">
        <v>25760</v>
      </c>
      <c r="AT94" s="379">
        <v>25890</v>
      </c>
      <c r="AU94" s="379">
        <v>26020</v>
      </c>
      <c r="AV94" s="379">
        <v>26120</v>
      </c>
      <c r="AW94" s="379">
        <v>26210</v>
      </c>
      <c r="AX94" s="379">
        <v>26270</v>
      </c>
      <c r="AY94" s="379">
        <v>26310</v>
      </c>
      <c r="AZ94" s="379">
        <v>26330</v>
      </c>
      <c r="BA94" s="379">
        <v>26330</v>
      </c>
      <c r="BB94" s="379">
        <v>26310</v>
      </c>
      <c r="BC94" s="379">
        <v>26280</v>
      </c>
      <c r="BD94" s="379">
        <v>26230</v>
      </c>
      <c r="BE94" s="379">
        <v>26170</v>
      </c>
      <c r="BF94" s="379">
        <v>26110</v>
      </c>
    </row>
    <row r="95" spans="1:58" x14ac:dyDescent="0.2">
      <c r="A95" s="380" t="s">
        <v>36</v>
      </c>
      <c r="B95" s="238"/>
      <c r="C95" s="379">
        <v>20840</v>
      </c>
      <c r="D95" s="379">
        <v>20010</v>
      </c>
      <c r="E95" s="379">
        <v>20070</v>
      </c>
      <c r="F95" s="379">
        <v>19930</v>
      </c>
      <c r="G95" s="379">
        <v>20740</v>
      </c>
      <c r="H95" s="379">
        <v>20950</v>
      </c>
      <c r="I95" s="379">
        <v>21260</v>
      </c>
      <c r="J95" s="379">
        <v>21810</v>
      </c>
      <c r="K95" s="379">
        <v>22500</v>
      </c>
      <c r="L95" s="379">
        <v>22790</v>
      </c>
      <c r="M95" s="379">
        <v>23130</v>
      </c>
      <c r="N95" s="379">
        <v>23540</v>
      </c>
      <c r="O95" s="379">
        <v>23570</v>
      </c>
      <c r="P95" s="379">
        <v>24670</v>
      </c>
      <c r="Q95" s="379">
        <v>25370</v>
      </c>
      <c r="R95" s="379">
        <v>26610</v>
      </c>
      <c r="S95" s="379">
        <v>26960</v>
      </c>
      <c r="T95" s="379">
        <v>26230</v>
      </c>
      <c r="U95" s="379">
        <v>26220</v>
      </c>
      <c r="V95" s="379">
        <v>25850</v>
      </c>
      <c r="W95" s="379">
        <v>25920</v>
      </c>
      <c r="X95" s="379">
        <v>25490</v>
      </c>
      <c r="Y95" s="379">
        <v>25140</v>
      </c>
      <c r="Z95" s="379">
        <v>25010</v>
      </c>
      <c r="AA95" s="379">
        <v>24550</v>
      </c>
      <c r="AB95" s="379">
        <v>25310</v>
      </c>
      <c r="AC95" s="379">
        <v>24770</v>
      </c>
      <c r="AD95" s="379">
        <v>24080</v>
      </c>
      <c r="AE95" s="379">
        <v>23970</v>
      </c>
      <c r="AF95" s="379">
        <v>24670</v>
      </c>
      <c r="AG95" s="379">
        <v>24480</v>
      </c>
      <c r="AH95" s="379">
        <v>25050</v>
      </c>
      <c r="AI95" s="379">
        <v>25900</v>
      </c>
      <c r="AJ95" s="379">
        <v>26550</v>
      </c>
      <c r="AK95" s="379">
        <v>25990</v>
      </c>
      <c r="AL95" s="379">
        <v>26480</v>
      </c>
      <c r="AM95" s="379">
        <v>25950</v>
      </c>
      <c r="AN95" s="379">
        <v>25400</v>
      </c>
      <c r="AO95" s="379">
        <v>25410</v>
      </c>
      <c r="AP95" s="379">
        <v>25470</v>
      </c>
      <c r="AQ95" s="379">
        <v>25570</v>
      </c>
      <c r="AR95" s="379">
        <v>25700</v>
      </c>
      <c r="AS95" s="379">
        <v>25840</v>
      </c>
      <c r="AT95" s="379">
        <v>25980</v>
      </c>
      <c r="AU95" s="379">
        <v>26110</v>
      </c>
      <c r="AV95" s="379">
        <v>26230</v>
      </c>
      <c r="AW95" s="379">
        <v>26340</v>
      </c>
      <c r="AX95" s="379">
        <v>26420</v>
      </c>
      <c r="AY95" s="379">
        <v>26490</v>
      </c>
      <c r="AZ95" s="379">
        <v>26530</v>
      </c>
      <c r="BA95" s="379">
        <v>26550</v>
      </c>
      <c r="BB95" s="379">
        <v>26550</v>
      </c>
      <c r="BC95" s="379">
        <v>26530</v>
      </c>
      <c r="BD95" s="379">
        <v>26500</v>
      </c>
      <c r="BE95" s="379">
        <v>26450</v>
      </c>
      <c r="BF95" s="379">
        <v>26390</v>
      </c>
    </row>
    <row r="96" spans="1:58" x14ac:dyDescent="0.2">
      <c r="A96" s="380" t="s">
        <v>37</v>
      </c>
      <c r="B96" s="238"/>
      <c r="C96" s="379">
        <v>21690</v>
      </c>
      <c r="D96" s="379">
        <v>20960</v>
      </c>
      <c r="E96" s="379">
        <v>20060</v>
      </c>
      <c r="F96" s="379">
        <v>20160</v>
      </c>
      <c r="G96" s="379">
        <v>19990</v>
      </c>
      <c r="H96" s="379">
        <v>20740</v>
      </c>
      <c r="I96" s="379">
        <v>20950</v>
      </c>
      <c r="J96" s="379">
        <v>21280</v>
      </c>
      <c r="K96" s="379">
        <v>21880</v>
      </c>
      <c r="L96" s="379">
        <v>22600</v>
      </c>
      <c r="M96" s="379">
        <v>22890</v>
      </c>
      <c r="N96" s="379">
        <v>23230</v>
      </c>
      <c r="O96" s="379">
        <v>23640</v>
      </c>
      <c r="P96" s="379">
        <v>23660</v>
      </c>
      <c r="Q96" s="379">
        <v>24760</v>
      </c>
      <c r="R96" s="379">
        <v>25460</v>
      </c>
      <c r="S96" s="379">
        <v>26690</v>
      </c>
      <c r="T96" s="379">
        <v>27040</v>
      </c>
      <c r="U96" s="379">
        <v>26320</v>
      </c>
      <c r="V96" s="379">
        <v>26300</v>
      </c>
      <c r="W96" s="379">
        <v>25930</v>
      </c>
      <c r="X96" s="379">
        <v>26000</v>
      </c>
      <c r="Y96" s="379">
        <v>25570</v>
      </c>
      <c r="Z96" s="379">
        <v>25220</v>
      </c>
      <c r="AA96" s="379">
        <v>25090</v>
      </c>
      <c r="AB96" s="379">
        <v>24640</v>
      </c>
      <c r="AC96" s="379">
        <v>25390</v>
      </c>
      <c r="AD96" s="379">
        <v>24840</v>
      </c>
      <c r="AE96" s="379">
        <v>24160</v>
      </c>
      <c r="AF96" s="379">
        <v>24050</v>
      </c>
      <c r="AG96" s="379">
        <v>24750</v>
      </c>
      <c r="AH96" s="379">
        <v>24560</v>
      </c>
      <c r="AI96" s="379">
        <v>25130</v>
      </c>
      <c r="AJ96" s="379">
        <v>25970</v>
      </c>
      <c r="AK96" s="379">
        <v>26620</v>
      </c>
      <c r="AL96" s="379">
        <v>26060</v>
      </c>
      <c r="AM96" s="379">
        <v>26550</v>
      </c>
      <c r="AN96" s="379">
        <v>26020</v>
      </c>
      <c r="AO96" s="379">
        <v>25470</v>
      </c>
      <c r="AP96" s="379">
        <v>25480</v>
      </c>
      <c r="AQ96" s="379">
        <v>25540</v>
      </c>
      <c r="AR96" s="379">
        <v>25640</v>
      </c>
      <c r="AS96" s="379">
        <v>25770</v>
      </c>
      <c r="AT96" s="379">
        <v>25910</v>
      </c>
      <c r="AU96" s="379">
        <v>26050</v>
      </c>
      <c r="AV96" s="379">
        <v>26180</v>
      </c>
      <c r="AW96" s="379">
        <v>26300</v>
      </c>
      <c r="AX96" s="379">
        <v>26410</v>
      </c>
      <c r="AY96" s="379">
        <v>26490</v>
      </c>
      <c r="AZ96" s="379">
        <v>26560</v>
      </c>
      <c r="BA96" s="379">
        <v>26600</v>
      </c>
      <c r="BB96" s="379">
        <v>26620</v>
      </c>
      <c r="BC96" s="379">
        <v>26620</v>
      </c>
      <c r="BD96" s="379">
        <v>26600</v>
      </c>
      <c r="BE96" s="379">
        <v>26570</v>
      </c>
      <c r="BF96" s="379">
        <v>26520</v>
      </c>
    </row>
    <row r="97" spans="1:58" x14ac:dyDescent="0.2">
      <c r="A97" s="380" t="s">
        <v>38</v>
      </c>
      <c r="B97" s="238"/>
      <c r="C97" s="379">
        <v>22530</v>
      </c>
      <c r="D97" s="379">
        <v>21800</v>
      </c>
      <c r="E97" s="379">
        <v>20980</v>
      </c>
      <c r="F97" s="379">
        <v>20080</v>
      </c>
      <c r="G97" s="379">
        <v>20190</v>
      </c>
      <c r="H97" s="379">
        <v>19980</v>
      </c>
      <c r="I97" s="379">
        <v>20680</v>
      </c>
      <c r="J97" s="379">
        <v>20910</v>
      </c>
      <c r="K97" s="379">
        <v>21280</v>
      </c>
      <c r="L97" s="379">
        <v>21900</v>
      </c>
      <c r="M97" s="379">
        <v>22620</v>
      </c>
      <c r="N97" s="379">
        <v>22910</v>
      </c>
      <c r="O97" s="379">
        <v>23250</v>
      </c>
      <c r="P97" s="379">
        <v>23660</v>
      </c>
      <c r="Q97" s="379">
        <v>23680</v>
      </c>
      <c r="R97" s="379">
        <v>24780</v>
      </c>
      <c r="S97" s="379">
        <v>25470</v>
      </c>
      <c r="T97" s="379">
        <v>26690</v>
      </c>
      <c r="U97" s="379">
        <v>27040</v>
      </c>
      <c r="V97" s="379">
        <v>26320</v>
      </c>
      <c r="W97" s="379">
        <v>26300</v>
      </c>
      <c r="X97" s="379">
        <v>25930</v>
      </c>
      <c r="Y97" s="379">
        <v>26000</v>
      </c>
      <c r="Z97" s="379">
        <v>25580</v>
      </c>
      <c r="AA97" s="379">
        <v>25220</v>
      </c>
      <c r="AB97" s="379">
        <v>25090</v>
      </c>
      <c r="AC97" s="379">
        <v>24640</v>
      </c>
      <c r="AD97" s="379">
        <v>25380</v>
      </c>
      <c r="AE97" s="379">
        <v>24840</v>
      </c>
      <c r="AF97" s="379">
        <v>24160</v>
      </c>
      <c r="AG97" s="379">
        <v>24050</v>
      </c>
      <c r="AH97" s="379">
        <v>24750</v>
      </c>
      <c r="AI97" s="379">
        <v>24560</v>
      </c>
      <c r="AJ97" s="379">
        <v>25120</v>
      </c>
      <c r="AK97" s="379">
        <v>25970</v>
      </c>
      <c r="AL97" s="379">
        <v>26610</v>
      </c>
      <c r="AM97" s="379">
        <v>26050</v>
      </c>
      <c r="AN97" s="379">
        <v>26540</v>
      </c>
      <c r="AO97" s="379">
        <v>26010</v>
      </c>
      <c r="AP97" s="379">
        <v>25470</v>
      </c>
      <c r="AQ97" s="379">
        <v>25480</v>
      </c>
      <c r="AR97" s="379">
        <v>25540</v>
      </c>
      <c r="AS97" s="379">
        <v>25640</v>
      </c>
      <c r="AT97" s="379">
        <v>25770</v>
      </c>
      <c r="AU97" s="379">
        <v>25900</v>
      </c>
      <c r="AV97" s="379">
        <v>26040</v>
      </c>
      <c r="AW97" s="379">
        <v>26180</v>
      </c>
      <c r="AX97" s="379">
        <v>26300</v>
      </c>
      <c r="AY97" s="379">
        <v>26400</v>
      </c>
      <c r="AZ97" s="379">
        <v>26490</v>
      </c>
      <c r="BA97" s="379">
        <v>26550</v>
      </c>
      <c r="BB97" s="379">
        <v>26590</v>
      </c>
      <c r="BC97" s="379">
        <v>26610</v>
      </c>
      <c r="BD97" s="379">
        <v>26610</v>
      </c>
      <c r="BE97" s="379">
        <v>26590</v>
      </c>
      <c r="BF97" s="379">
        <v>26560</v>
      </c>
    </row>
    <row r="98" spans="1:58" x14ac:dyDescent="0.2">
      <c r="A98" s="380" t="s">
        <v>39</v>
      </c>
      <c r="B98" s="238"/>
      <c r="C98" s="379">
        <v>23540</v>
      </c>
      <c r="D98" s="379">
        <v>22620</v>
      </c>
      <c r="E98" s="379">
        <v>21850</v>
      </c>
      <c r="F98" s="379">
        <v>21010</v>
      </c>
      <c r="G98" s="379">
        <v>20150</v>
      </c>
      <c r="H98" s="379">
        <v>20150</v>
      </c>
      <c r="I98" s="379">
        <v>19910</v>
      </c>
      <c r="J98" s="379">
        <v>20620</v>
      </c>
      <c r="K98" s="379">
        <v>20890</v>
      </c>
      <c r="L98" s="379">
        <v>21280</v>
      </c>
      <c r="M98" s="379">
        <v>21900</v>
      </c>
      <c r="N98" s="379">
        <v>22620</v>
      </c>
      <c r="O98" s="379">
        <v>22900</v>
      </c>
      <c r="P98" s="379">
        <v>23240</v>
      </c>
      <c r="Q98" s="379">
        <v>23640</v>
      </c>
      <c r="R98" s="379">
        <v>23660</v>
      </c>
      <c r="S98" s="379">
        <v>24750</v>
      </c>
      <c r="T98" s="379">
        <v>25440</v>
      </c>
      <c r="U98" s="379">
        <v>26660</v>
      </c>
      <c r="V98" s="379">
        <v>27000</v>
      </c>
      <c r="W98" s="379">
        <v>26280</v>
      </c>
      <c r="X98" s="379">
        <v>26260</v>
      </c>
      <c r="Y98" s="379">
        <v>25890</v>
      </c>
      <c r="Z98" s="379">
        <v>25960</v>
      </c>
      <c r="AA98" s="379">
        <v>25530</v>
      </c>
      <c r="AB98" s="379">
        <v>25180</v>
      </c>
      <c r="AC98" s="379">
        <v>25050</v>
      </c>
      <c r="AD98" s="379">
        <v>24600</v>
      </c>
      <c r="AE98" s="379">
        <v>25340</v>
      </c>
      <c r="AF98" s="379">
        <v>24800</v>
      </c>
      <c r="AG98" s="379">
        <v>24120</v>
      </c>
      <c r="AH98" s="379">
        <v>24010</v>
      </c>
      <c r="AI98" s="379">
        <v>24710</v>
      </c>
      <c r="AJ98" s="379">
        <v>24510</v>
      </c>
      <c r="AK98" s="379">
        <v>25080</v>
      </c>
      <c r="AL98" s="379">
        <v>25920</v>
      </c>
      <c r="AM98" s="379">
        <v>26560</v>
      </c>
      <c r="AN98" s="379">
        <v>26000</v>
      </c>
      <c r="AO98" s="379">
        <v>26490</v>
      </c>
      <c r="AP98" s="379">
        <v>25970</v>
      </c>
      <c r="AQ98" s="379">
        <v>25420</v>
      </c>
      <c r="AR98" s="379">
        <v>25430</v>
      </c>
      <c r="AS98" s="379">
        <v>25490</v>
      </c>
      <c r="AT98" s="379">
        <v>25590</v>
      </c>
      <c r="AU98" s="379">
        <v>25720</v>
      </c>
      <c r="AV98" s="379">
        <v>25860</v>
      </c>
      <c r="AW98" s="379">
        <v>25990</v>
      </c>
      <c r="AX98" s="379">
        <v>26130</v>
      </c>
      <c r="AY98" s="379">
        <v>26250</v>
      </c>
      <c r="AZ98" s="379">
        <v>26350</v>
      </c>
      <c r="BA98" s="379">
        <v>26440</v>
      </c>
      <c r="BB98" s="379">
        <v>26500</v>
      </c>
      <c r="BC98" s="379">
        <v>26540</v>
      </c>
      <c r="BD98" s="379">
        <v>26560</v>
      </c>
      <c r="BE98" s="379">
        <v>26560</v>
      </c>
      <c r="BF98" s="379">
        <v>26540</v>
      </c>
    </row>
    <row r="99" spans="1:58" x14ac:dyDescent="0.2">
      <c r="A99" s="380" t="s">
        <v>40</v>
      </c>
      <c r="B99" s="238"/>
      <c r="C99" s="379">
        <v>23960</v>
      </c>
      <c r="D99" s="379">
        <v>23670</v>
      </c>
      <c r="E99" s="379">
        <v>22670</v>
      </c>
      <c r="F99" s="379">
        <v>21960</v>
      </c>
      <c r="G99" s="379">
        <v>21100</v>
      </c>
      <c r="H99" s="379">
        <v>20160</v>
      </c>
      <c r="I99" s="379">
        <v>20100</v>
      </c>
      <c r="J99" s="379">
        <v>19880</v>
      </c>
      <c r="K99" s="379">
        <v>20620</v>
      </c>
      <c r="L99" s="379">
        <v>20910</v>
      </c>
      <c r="M99" s="379">
        <v>21310</v>
      </c>
      <c r="N99" s="379">
        <v>21930</v>
      </c>
      <c r="O99" s="379">
        <v>22630</v>
      </c>
      <c r="P99" s="379">
        <v>22920</v>
      </c>
      <c r="Q99" s="379">
        <v>23250</v>
      </c>
      <c r="R99" s="379">
        <v>23650</v>
      </c>
      <c r="S99" s="379">
        <v>23670</v>
      </c>
      <c r="T99" s="379">
        <v>24760</v>
      </c>
      <c r="U99" s="379">
        <v>25440</v>
      </c>
      <c r="V99" s="379">
        <v>26650</v>
      </c>
      <c r="W99" s="379">
        <v>26990</v>
      </c>
      <c r="X99" s="379">
        <v>26270</v>
      </c>
      <c r="Y99" s="379">
        <v>26250</v>
      </c>
      <c r="Z99" s="379">
        <v>25880</v>
      </c>
      <c r="AA99" s="379">
        <v>25950</v>
      </c>
      <c r="AB99" s="379">
        <v>25520</v>
      </c>
      <c r="AC99" s="379">
        <v>25170</v>
      </c>
      <c r="AD99" s="379">
        <v>25040</v>
      </c>
      <c r="AE99" s="379">
        <v>24590</v>
      </c>
      <c r="AF99" s="379">
        <v>25320</v>
      </c>
      <c r="AG99" s="379">
        <v>24790</v>
      </c>
      <c r="AH99" s="379">
        <v>24100</v>
      </c>
      <c r="AI99" s="379">
        <v>23990</v>
      </c>
      <c r="AJ99" s="379">
        <v>24690</v>
      </c>
      <c r="AK99" s="379">
        <v>24500</v>
      </c>
      <c r="AL99" s="379">
        <v>25060</v>
      </c>
      <c r="AM99" s="379">
        <v>25900</v>
      </c>
      <c r="AN99" s="379">
        <v>26540</v>
      </c>
      <c r="AO99" s="379">
        <v>25980</v>
      </c>
      <c r="AP99" s="379">
        <v>26470</v>
      </c>
      <c r="AQ99" s="379">
        <v>25950</v>
      </c>
      <c r="AR99" s="379">
        <v>25410</v>
      </c>
      <c r="AS99" s="379">
        <v>25420</v>
      </c>
      <c r="AT99" s="379">
        <v>25480</v>
      </c>
      <c r="AU99" s="379">
        <v>25580</v>
      </c>
      <c r="AV99" s="379">
        <v>25700</v>
      </c>
      <c r="AW99" s="379">
        <v>25840</v>
      </c>
      <c r="AX99" s="379">
        <v>25980</v>
      </c>
      <c r="AY99" s="379">
        <v>26110</v>
      </c>
      <c r="AZ99" s="379">
        <v>26230</v>
      </c>
      <c r="BA99" s="379">
        <v>26330</v>
      </c>
      <c r="BB99" s="379">
        <v>26420</v>
      </c>
      <c r="BC99" s="379">
        <v>26480</v>
      </c>
      <c r="BD99" s="379">
        <v>26520</v>
      </c>
      <c r="BE99" s="379">
        <v>26540</v>
      </c>
      <c r="BF99" s="379">
        <v>26540</v>
      </c>
    </row>
    <row r="100" spans="1:58" x14ac:dyDescent="0.2">
      <c r="A100" s="380" t="s">
        <v>41</v>
      </c>
      <c r="B100" s="238"/>
      <c r="C100" s="379">
        <v>23420</v>
      </c>
      <c r="D100" s="379">
        <v>24180</v>
      </c>
      <c r="E100" s="379">
        <v>23810</v>
      </c>
      <c r="F100" s="379">
        <v>22840</v>
      </c>
      <c r="G100" s="379">
        <v>22060</v>
      </c>
      <c r="H100" s="379">
        <v>21130</v>
      </c>
      <c r="I100" s="379">
        <v>20150</v>
      </c>
      <c r="J100" s="379">
        <v>20100</v>
      </c>
      <c r="K100" s="379">
        <v>19910</v>
      </c>
      <c r="L100" s="379">
        <v>20670</v>
      </c>
      <c r="M100" s="379">
        <v>20960</v>
      </c>
      <c r="N100" s="379">
        <v>21340</v>
      </c>
      <c r="O100" s="379">
        <v>21960</v>
      </c>
      <c r="P100" s="379">
        <v>22660</v>
      </c>
      <c r="Q100" s="379">
        <v>22940</v>
      </c>
      <c r="R100" s="379">
        <v>23270</v>
      </c>
      <c r="S100" s="379">
        <v>23660</v>
      </c>
      <c r="T100" s="379">
        <v>23680</v>
      </c>
      <c r="U100" s="379">
        <v>24750</v>
      </c>
      <c r="V100" s="379">
        <v>25430</v>
      </c>
      <c r="W100" s="379">
        <v>26640</v>
      </c>
      <c r="X100" s="379">
        <v>26970</v>
      </c>
      <c r="Y100" s="379">
        <v>26250</v>
      </c>
      <c r="Z100" s="379">
        <v>26230</v>
      </c>
      <c r="AA100" s="379">
        <v>25860</v>
      </c>
      <c r="AB100" s="379">
        <v>25920</v>
      </c>
      <c r="AC100" s="379">
        <v>25490</v>
      </c>
      <c r="AD100" s="379">
        <v>25140</v>
      </c>
      <c r="AE100" s="379">
        <v>25000</v>
      </c>
      <c r="AF100" s="379">
        <v>24550</v>
      </c>
      <c r="AG100" s="379">
        <v>25290</v>
      </c>
      <c r="AH100" s="379">
        <v>24750</v>
      </c>
      <c r="AI100" s="379">
        <v>24070</v>
      </c>
      <c r="AJ100" s="379">
        <v>23960</v>
      </c>
      <c r="AK100" s="379">
        <v>24660</v>
      </c>
      <c r="AL100" s="379">
        <v>24470</v>
      </c>
      <c r="AM100" s="379">
        <v>25030</v>
      </c>
      <c r="AN100" s="379">
        <v>25860</v>
      </c>
      <c r="AO100" s="379">
        <v>26500</v>
      </c>
      <c r="AP100" s="379">
        <v>25940</v>
      </c>
      <c r="AQ100" s="379">
        <v>26430</v>
      </c>
      <c r="AR100" s="379">
        <v>25910</v>
      </c>
      <c r="AS100" s="379">
        <v>25370</v>
      </c>
      <c r="AT100" s="379">
        <v>25380</v>
      </c>
      <c r="AU100" s="379">
        <v>25440</v>
      </c>
      <c r="AV100" s="379">
        <v>25540</v>
      </c>
      <c r="AW100" s="379">
        <v>25670</v>
      </c>
      <c r="AX100" s="379">
        <v>25800</v>
      </c>
      <c r="AY100" s="379">
        <v>25940</v>
      </c>
      <c r="AZ100" s="379">
        <v>26070</v>
      </c>
      <c r="BA100" s="379">
        <v>26190</v>
      </c>
      <c r="BB100" s="379">
        <v>26300</v>
      </c>
      <c r="BC100" s="379">
        <v>26380</v>
      </c>
      <c r="BD100" s="379">
        <v>26440</v>
      </c>
      <c r="BE100" s="379">
        <v>26490</v>
      </c>
      <c r="BF100" s="379">
        <v>26510</v>
      </c>
    </row>
    <row r="101" spans="1:58" x14ac:dyDescent="0.2">
      <c r="A101" s="380" t="s">
        <v>42</v>
      </c>
      <c r="B101" s="238"/>
      <c r="C101" s="379">
        <v>23850</v>
      </c>
      <c r="D101" s="379">
        <v>23710</v>
      </c>
      <c r="E101" s="379">
        <v>24410</v>
      </c>
      <c r="F101" s="379">
        <v>24040</v>
      </c>
      <c r="G101" s="379">
        <v>23060</v>
      </c>
      <c r="H101" s="379">
        <v>22160</v>
      </c>
      <c r="I101" s="379">
        <v>21230</v>
      </c>
      <c r="J101" s="379">
        <v>20250</v>
      </c>
      <c r="K101" s="379">
        <v>20240</v>
      </c>
      <c r="L101" s="379">
        <v>20070</v>
      </c>
      <c r="M101" s="379">
        <v>20830</v>
      </c>
      <c r="N101" s="379">
        <v>21120</v>
      </c>
      <c r="O101" s="379">
        <v>21510</v>
      </c>
      <c r="P101" s="379">
        <v>22120</v>
      </c>
      <c r="Q101" s="379">
        <v>22830</v>
      </c>
      <c r="R101" s="379">
        <v>23110</v>
      </c>
      <c r="S101" s="379">
        <v>23430</v>
      </c>
      <c r="T101" s="379">
        <v>23830</v>
      </c>
      <c r="U101" s="379">
        <v>23840</v>
      </c>
      <c r="V101" s="379">
        <v>24920</v>
      </c>
      <c r="W101" s="379">
        <v>25600</v>
      </c>
      <c r="X101" s="379">
        <v>26820</v>
      </c>
      <c r="Y101" s="379">
        <v>27150</v>
      </c>
      <c r="Z101" s="379">
        <v>26420</v>
      </c>
      <c r="AA101" s="379">
        <v>26400</v>
      </c>
      <c r="AB101" s="379">
        <v>26020</v>
      </c>
      <c r="AC101" s="379">
        <v>26090</v>
      </c>
      <c r="AD101" s="379">
        <v>25660</v>
      </c>
      <c r="AE101" s="379">
        <v>25300</v>
      </c>
      <c r="AF101" s="379">
        <v>25160</v>
      </c>
      <c r="AG101" s="379">
        <v>24710</v>
      </c>
      <c r="AH101" s="379">
        <v>25450</v>
      </c>
      <c r="AI101" s="379">
        <v>24910</v>
      </c>
      <c r="AJ101" s="379">
        <v>24230</v>
      </c>
      <c r="AK101" s="379">
        <v>24120</v>
      </c>
      <c r="AL101" s="379">
        <v>24820</v>
      </c>
      <c r="AM101" s="379">
        <v>24620</v>
      </c>
      <c r="AN101" s="379">
        <v>25190</v>
      </c>
      <c r="AO101" s="379">
        <v>26030</v>
      </c>
      <c r="AP101" s="379">
        <v>26670</v>
      </c>
      <c r="AQ101" s="379">
        <v>26110</v>
      </c>
      <c r="AR101" s="379">
        <v>26600</v>
      </c>
      <c r="AS101" s="379">
        <v>26080</v>
      </c>
      <c r="AT101" s="379">
        <v>25540</v>
      </c>
      <c r="AU101" s="379">
        <v>25550</v>
      </c>
      <c r="AV101" s="379">
        <v>25610</v>
      </c>
      <c r="AW101" s="379">
        <v>25710</v>
      </c>
      <c r="AX101" s="379">
        <v>25830</v>
      </c>
      <c r="AY101" s="379">
        <v>25970</v>
      </c>
      <c r="AZ101" s="379">
        <v>26110</v>
      </c>
      <c r="BA101" s="379">
        <v>26240</v>
      </c>
      <c r="BB101" s="379">
        <v>26360</v>
      </c>
      <c r="BC101" s="379">
        <v>26470</v>
      </c>
      <c r="BD101" s="379">
        <v>26550</v>
      </c>
      <c r="BE101" s="379">
        <v>26620</v>
      </c>
      <c r="BF101" s="379">
        <v>26660</v>
      </c>
    </row>
    <row r="102" spans="1:58" x14ac:dyDescent="0.2">
      <c r="A102" s="380" t="s">
        <v>43</v>
      </c>
      <c r="B102" s="238"/>
      <c r="C102" s="379">
        <v>23850</v>
      </c>
      <c r="D102" s="379">
        <v>24240</v>
      </c>
      <c r="E102" s="379">
        <v>24020</v>
      </c>
      <c r="F102" s="379">
        <v>24770</v>
      </c>
      <c r="G102" s="379">
        <v>24380</v>
      </c>
      <c r="H102" s="379">
        <v>23300</v>
      </c>
      <c r="I102" s="379">
        <v>22370</v>
      </c>
      <c r="J102" s="379">
        <v>21440</v>
      </c>
      <c r="K102" s="379">
        <v>20480</v>
      </c>
      <c r="L102" s="379">
        <v>20490</v>
      </c>
      <c r="M102" s="379">
        <v>20310</v>
      </c>
      <c r="N102" s="379">
        <v>21080</v>
      </c>
      <c r="O102" s="379">
        <v>21370</v>
      </c>
      <c r="P102" s="379">
        <v>21750</v>
      </c>
      <c r="Q102" s="379">
        <v>22370</v>
      </c>
      <c r="R102" s="379">
        <v>23080</v>
      </c>
      <c r="S102" s="379">
        <v>23360</v>
      </c>
      <c r="T102" s="379">
        <v>23690</v>
      </c>
      <c r="U102" s="379">
        <v>24080</v>
      </c>
      <c r="V102" s="379">
        <v>24100</v>
      </c>
      <c r="W102" s="379">
        <v>25190</v>
      </c>
      <c r="X102" s="379">
        <v>25870</v>
      </c>
      <c r="Y102" s="379">
        <v>27090</v>
      </c>
      <c r="Z102" s="379">
        <v>27430</v>
      </c>
      <c r="AA102" s="379">
        <v>26690</v>
      </c>
      <c r="AB102" s="379">
        <v>26660</v>
      </c>
      <c r="AC102" s="379">
        <v>26290</v>
      </c>
      <c r="AD102" s="379">
        <v>26350</v>
      </c>
      <c r="AE102" s="379">
        <v>25910</v>
      </c>
      <c r="AF102" s="379">
        <v>25550</v>
      </c>
      <c r="AG102" s="379">
        <v>25410</v>
      </c>
      <c r="AH102" s="379">
        <v>24960</v>
      </c>
      <c r="AI102" s="379">
        <v>25700</v>
      </c>
      <c r="AJ102" s="379">
        <v>25160</v>
      </c>
      <c r="AK102" s="379">
        <v>24470</v>
      </c>
      <c r="AL102" s="379">
        <v>24360</v>
      </c>
      <c r="AM102" s="379">
        <v>25060</v>
      </c>
      <c r="AN102" s="379">
        <v>24870</v>
      </c>
      <c r="AO102" s="379">
        <v>25440</v>
      </c>
      <c r="AP102" s="379">
        <v>26290</v>
      </c>
      <c r="AQ102" s="379">
        <v>26930</v>
      </c>
      <c r="AR102" s="379">
        <v>26370</v>
      </c>
      <c r="AS102" s="379">
        <v>26860</v>
      </c>
      <c r="AT102" s="379">
        <v>26340</v>
      </c>
      <c r="AU102" s="379">
        <v>25790</v>
      </c>
      <c r="AV102" s="379">
        <v>25800</v>
      </c>
      <c r="AW102" s="379">
        <v>25860</v>
      </c>
      <c r="AX102" s="379">
        <v>25960</v>
      </c>
      <c r="AY102" s="379">
        <v>26090</v>
      </c>
      <c r="AZ102" s="379">
        <v>26230</v>
      </c>
      <c r="BA102" s="379">
        <v>26370</v>
      </c>
      <c r="BB102" s="379">
        <v>26510</v>
      </c>
      <c r="BC102" s="379">
        <v>26630</v>
      </c>
      <c r="BD102" s="379">
        <v>26730</v>
      </c>
      <c r="BE102" s="379">
        <v>26820</v>
      </c>
      <c r="BF102" s="379">
        <v>26880</v>
      </c>
    </row>
    <row r="103" spans="1:58" x14ac:dyDescent="0.2">
      <c r="A103" s="380" t="s">
        <v>44</v>
      </c>
      <c r="B103" s="238"/>
      <c r="C103" s="379">
        <v>24140</v>
      </c>
      <c r="D103" s="379">
        <v>24370</v>
      </c>
      <c r="E103" s="379">
        <v>24720</v>
      </c>
      <c r="F103" s="379">
        <v>24500</v>
      </c>
      <c r="G103" s="379">
        <v>25270</v>
      </c>
      <c r="H103" s="379">
        <v>24790</v>
      </c>
      <c r="I103" s="379">
        <v>23650</v>
      </c>
      <c r="J103" s="379">
        <v>22710</v>
      </c>
      <c r="K103" s="379">
        <v>21800</v>
      </c>
      <c r="L103" s="379">
        <v>20840</v>
      </c>
      <c r="M103" s="379">
        <v>20850</v>
      </c>
      <c r="N103" s="379">
        <v>20670</v>
      </c>
      <c r="O103" s="379">
        <v>21450</v>
      </c>
      <c r="P103" s="379">
        <v>21740</v>
      </c>
      <c r="Q103" s="379">
        <v>22130</v>
      </c>
      <c r="R103" s="379">
        <v>22750</v>
      </c>
      <c r="S103" s="379">
        <v>23470</v>
      </c>
      <c r="T103" s="379">
        <v>23760</v>
      </c>
      <c r="U103" s="379">
        <v>24080</v>
      </c>
      <c r="V103" s="379">
        <v>24490</v>
      </c>
      <c r="W103" s="379">
        <v>24500</v>
      </c>
      <c r="X103" s="379">
        <v>25600</v>
      </c>
      <c r="Y103" s="379">
        <v>26290</v>
      </c>
      <c r="Z103" s="379">
        <v>27530</v>
      </c>
      <c r="AA103" s="379">
        <v>27880</v>
      </c>
      <c r="AB103" s="379">
        <v>27130</v>
      </c>
      <c r="AC103" s="379">
        <v>27100</v>
      </c>
      <c r="AD103" s="379">
        <v>26710</v>
      </c>
      <c r="AE103" s="379">
        <v>26780</v>
      </c>
      <c r="AF103" s="379">
        <v>26330</v>
      </c>
      <c r="AG103" s="379">
        <v>25970</v>
      </c>
      <c r="AH103" s="379">
        <v>25830</v>
      </c>
      <c r="AI103" s="379">
        <v>25360</v>
      </c>
      <c r="AJ103" s="379">
        <v>26120</v>
      </c>
      <c r="AK103" s="379">
        <v>25570</v>
      </c>
      <c r="AL103" s="379">
        <v>24870</v>
      </c>
      <c r="AM103" s="379">
        <v>24760</v>
      </c>
      <c r="AN103" s="379">
        <v>25470</v>
      </c>
      <c r="AO103" s="379">
        <v>25280</v>
      </c>
      <c r="AP103" s="379">
        <v>25860</v>
      </c>
      <c r="AQ103" s="379">
        <v>26720</v>
      </c>
      <c r="AR103" s="379">
        <v>27370</v>
      </c>
      <c r="AS103" s="379">
        <v>26800</v>
      </c>
      <c r="AT103" s="379">
        <v>27300</v>
      </c>
      <c r="AU103" s="379">
        <v>26770</v>
      </c>
      <c r="AV103" s="379">
        <v>26210</v>
      </c>
      <c r="AW103" s="379">
        <v>26220</v>
      </c>
      <c r="AX103" s="379">
        <v>26290</v>
      </c>
      <c r="AY103" s="379">
        <v>26390</v>
      </c>
      <c r="AZ103" s="379">
        <v>26520</v>
      </c>
      <c r="BA103" s="379">
        <v>26660</v>
      </c>
      <c r="BB103" s="379">
        <v>26800</v>
      </c>
      <c r="BC103" s="379">
        <v>26940</v>
      </c>
      <c r="BD103" s="379">
        <v>27060</v>
      </c>
      <c r="BE103" s="379">
        <v>27170</v>
      </c>
      <c r="BF103" s="379">
        <v>27260</v>
      </c>
    </row>
    <row r="104" spans="1:58" x14ac:dyDescent="0.2">
      <c r="A104" s="380" t="s">
        <v>45</v>
      </c>
      <c r="B104" s="238"/>
      <c r="C104" s="379">
        <v>24650</v>
      </c>
      <c r="D104" s="379">
        <v>24840</v>
      </c>
      <c r="E104" s="379">
        <v>25050</v>
      </c>
      <c r="F104" s="379">
        <v>25400</v>
      </c>
      <c r="G104" s="379">
        <v>25180</v>
      </c>
      <c r="H104" s="379">
        <v>25880</v>
      </c>
      <c r="I104" s="379">
        <v>25350</v>
      </c>
      <c r="J104" s="379">
        <v>24200</v>
      </c>
      <c r="K104" s="379">
        <v>23260</v>
      </c>
      <c r="L104" s="379">
        <v>22350</v>
      </c>
      <c r="M104" s="379">
        <v>21360</v>
      </c>
      <c r="N104" s="379">
        <v>21370</v>
      </c>
      <c r="O104" s="379">
        <v>21180</v>
      </c>
      <c r="P104" s="379">
        <v>21980</v>
      </c>
      <c r="Q104" s="379">
        <v>22270</v>
      </c>
      <c r="R104" s="379">
        <v>22670</v>
      </c>
      <c r="S104" s="379">
        <v>23300</v>
      </c>
      <c r="T104" s="379">
        <v>24040</v>
      </c>
      <c r="U104" s="379">
        <v>24320</v>
      </c>
      <c r="V104" s="379">
        <v>24660</v>
      </c>
      <c r="W104" s="379">
        <v>25070</v>
      </c>
      <c r="X104" s="379">
        <v>25080</v>
      </c>
      <c r="Y104" s="379">
        <v>26210</v>
      </c>
      <c r="Z104" s="379">
        <v>26910</v>
      </c>
      <c r="AA104" s="379">
        <v>28180</v>
      </c>
      <c r="AB104" s="379">
        <v>28530</v>
      </c>
      <c r="AC104" s="379">
        <v>27760</v>
      </c>
      <c r="AD104" s="379">
        <v>27730</v>
      </c>
      <c r="AE104" s="379">
        <v>27340</v>
      </c>
      <c r="AF104" s="379">
        <v>27400</v>
      </c>
      <c r="AG104" s="379">
        <v>26950</v>
      </c>
      <c r="AH104" s="379">
        <v>26570</v>
      </c>
      <c r="AI104" s="379">
        <v>26430</v>
      </c>
      <c r="AJ104" s="379">
        <v>25960</v>
      </c>
      <c r="AK104" s="379">
        <v>26730</v>
      </c>
      <c r="AL104" s="379">
        <v>26170</v>
      </c>
      <c r="AM104" s="379">
        <v>25450</v>
      </c>
      <c r="AN104" s="379">
        <v>25330</v>
      </c>
      <c r="AO104" s="379">
        <v>26070</v>
      </c>
      <c r="AP104" s="379">
        <v>25870</v>
      </c>
      <c r="AQ104" s="379">
        <v>26460</v>
      </c>
      <c r="AR104" s="379">
        <v>27340</v>
      </c>
      <c r="AS104" s="379">
        <v>28010</v>
      </c>
      <c r="AT104" s="379">
        <v>27430</v>
      </c>
      <c r="AU104" s="379">
        <v>27940</v>
      </c>
      <c r="AV104" s="379">
        <v>27400</v>
      </c>
      <c r="AW104" s="379">
        <v>26830</v>
      </c>
      <c r="AX104" s="379">
        <v>26840</v>
      </c>
      <c r="AY104" s="379">
        <v>26900</v>
      </c>
      <c r="AZ104" s="379">
        <v>27010</v>
      </c>
      <c r="BA104" s="379">
        <v>27140</v>
      </c>
      <c r="BB104" s="379">
        <v>27290</v>
      </c>
      <c r="BC104" s="379">
        <v>27430</v>
      </c>
      <c r="BD104" s="379">
        <v>27570</v>
      </c>
      <c r="BE104" s="379">
        <v>27700</v>
      </c>
      <c r="BF104" s="379">
        <v>27810</v>
      </c>
    </row>
    <row r="105" spans="1:58" x14ac:dyDescent="0.2">
      <c r="A105" s="380" t="s">
        <v>46</v>
      </c>
      <c r="B105" s="238"/>
      <c r="C105" s="379">
        <v>25700</v>
      </c>
      <c r="D105" s="379">
        <v>25440</v>
      </c>
      <c r="E105" s="379">
        <v>25570</v>
      </c>
      <c r="F105" s="379">
        <v>25770</v>
      </c>
      <c r="G105" s="379">
        <v>26130</v>
      </c>
      <c r="H105" s="379">
        <v>25860</v>
      </c>
      <c r="I105" s="379">
        <v>26540</v>
      </c>
      <c r="J105" s="379">
        <v>26020</v>
      </c>
      <c r="K105" s="379">
        <v>24860</v>
      </c>
      <c r="L105" s="379">
        <v>23930</v>
      </c>
      <c r="M105" s="379">
        <v>22980</v>
      </c>
      <c r="N105" s="379">
        <v>21970</v>
      </c>
      <c r="O105" s="379">
        <v>21980</v>
      </c>
      <c r="P105" s="379">
        <v>21780</v>
      </c>
      <c r="Q105" s="379">
        <v>22600</v>
      </c>
      <c r="R105" s="379">
        <v>22900</v>
      </c>
      <c r="S105" s="379">
        <v>23310</v>
      </c>
      <c r="T105" s="379">
        <v>23970</v>
      </c>
      <c r="U105" s="379">
        <v>24720</v>
      </c>
      <c r="V105" s="379">
        <v>25020</v>
      </c>
      <c r="W105" s="379">
        <v>25370</v>
      </c>
      <c r="X105" s="379">
        <v>25790</v>
      </c>
      <c r="Y105" s="379">
        <v>25790</v>
      </c>
      <c r="Z105" s="379">
        <v>26960</v>
      </c>
      <c r="AA105" s="379">
        <v>27690</v>
      </c>
      <c r="AB105" s="379">
        <v>28990</v>
      </c>
      <c r="AC105" s="379">
        <v>29350</v>
      </c>
      <c r="AD105" s="379">
        <v>28560</v>
      </c>
      <c r="AE105" s="379">
        <v>28530</v>
      </c>
      <c r="AF105" s="379">
        <v>28120</v>
      </c>
      <c r="AG105" s="379">
        <v>28190</v>
      </c>
      <c r="AH105" s="379">
        <v>27720</v>
      </c>
      <c r="AI105" s="379">
        <v>27340</v>
      </c>
      <c r="AJ105" s="379">
        <v>27190</v>
      </c>
      <c r="AK105" s="379">
        <v>26700</v>
      </c>
      <c r="AL105" s="379">
        <v>27500</v>
      </c>
      <c r="AM105" s="379">
        <v>26920</v>
      </c>
      <c r="AN105" s="379">
        <v>26180</v>
      </c>
      <c r="AO105" s="379">
        <v>26070</v>
      </c>
      <c r="AP105" s="379">
        <v>26820</v>
      </c>
      <c r="AQ105" s="379">
        <v>26610</v>
      </c>
      <c r="AR105" s="379">
        <v>27230</v>
      </c>
      <c r="AS105" s="379">
        <v>28130</v>
      </c>
      <c r="AT105" s="379">
        <v>28820</v>
      </c>
      <c r="AU105" s="379">
        <v>28220</v>
      </c>
      <c r="AV105" s="379">
        <v>28750</v>
      </c>
      <c r="AW105" s="379">
        <v>28190</v>
      </c>
      <c r="AX105" s="379">
        <v>27600</v>
      </c>
      <c r="AY105" s="379">
        <v>27620</v>
      </c>
      <c r="AZ105" s="379">
        <v>27680</v>
      </c>
      <c r="BA105" s="379">
        <v>27790</v>
      </c>
      <c r="BB105" s="379">
        <v>27930</v>
      </c>
      <c r="BC105" s="379">
        <v>28080</v>
      </c>
      <c r="BD105" s="379">
        <v>28230</v>
      </c>
      <c r="BE105" s="379">
        <v>28370</v>
      </c>
      <c r="BF105" s="379">
        <v>28500</v>
      </c>
    </row>
    <row r="106" spans="1:58" x14ac:dyDescent="0.2">
      <c r="A106" s="380" t="s">
        <v>47</v>
      </c>
      <c r="B106" s="238"/>
      <c r="C106" s="379">
        <v>27140</v>
      </c>
      <c r="D106" s="379">
        <v>26320</v>
      </c>
      <c r="E106" s="379">
        <v>25990</v>
      </c>
      <c r="F106" s="379">
        <v>26080</v>
      </c>
      <c r="G106" s="379">
        <v>26320</v>
      </c>
      <c r="H106" s="379">
        <v>26630</v>
      </c>
      <c r="I106" s="379">
        <v>26320</v>
      </c>
      <c r="J106" s="379">
        <v>27030</v>
      </c>
      <c r="K106" s="379">
        <v>26520</v>
      </c>
      <c r="L106" s="379">
        <v>25370</v>
      </c>
      <c r="M106" s="379">
        <v>24410</v>
      </c>
      <c r="N106" s="379">
        <v>23450</v>
      </c>
      <c r="O106" s="379">
        <v>22420</v>
      </c>
      <c r="P106" s="379">
        <v>22420</v>
      </c>
      <c r="Q106" s="379">
        <v>22220</v>
      </c>
      <c r="R106" s="379">
        <v>23060</v>
      </c>
      <c r="S106" s="379">
        <v>23370</v>
      </c>
      <c r="T106" s="379">
        <v>23790</v>
      </c>
      <c r="U106" s="379">
        <v>24460</v>
      </c>
      <c r="V106" s="379">
        <v>25230</v>
      </c>
      <c r="W106" s="379">
        <v>25530</v>
      </c>
      <c r="X106" s="379">
        <v>25880</v>
      </c>
      <c r="Y106" s="379">
        <v>26310</v>
      </c>
      <c r="Z106" s="379">
        <v>26320</v>
      </c>
      <c r="AA106" s="379">
        <v>27510</v>
      </c>
      <c r="AB106" s="379">
        <v>28250</v>
      </c>
      <c r="AC106" s="379">
        <v>29590</v>
      </c>
      <c r="AD106" s="379">
        <v>29950</v>
      </c>
      <c r="AE106" s="379">
        <v>29150</v>
      </c>
      <c r="AF106" s="379">
        <v>29120</v>
      </c>
      <c r="AG106" s="379">
        <v>28700</v>
      </c>
      <c r="AH106" s="379">
        <v>28770</v>
      </c>
      <c r="AI106" s="379">
        <v>28300</v>
      </c>
      <c r="AJ106" s="379">
        <v>27900</v>
      </c>
      <c r="AK106" s="379">
        <v>27750</v>
      </c>
      <c r="AL106" s="379">
        <v>27260</v>
      </c>
      <c r="AM106" s="379">
        <v>28070</v>
      </c>
      <c r="AN106" s="379">
        <v>27480</v>
      </c>
      <c r="AO106" s="379">
        <v>26730</v>
      </c>
      <c r="AP106" s="379">
        <v>26610</v>
      </c>
      <c r="AQ106" s="379">
        <v>27380</v>
      </c>
      <c r="AR106" s="379">
        <v>27170</v>
      </c>
      <c r="AS106" s="379">
        <v>27790</v>
      </c>
      <c r="AT106" s="379">
        <v>28720</v>
      </c>
      <c r="AU106" s="379">
        <v>29420</v>
      </c>
      <c r="AV106" s="379">
        <v>28810</v>
      </c>
      <c r="AW106" s="379">
        <v>29350</v>
      </c>
      <c r="AX106" s="379">
        <v>28780</v>
      </c>
      <c r="AY106" s="379">
        <v>28180</v>
      </c>
      <c r="AZ106" s="379">
        <v>28190</v>
      </c>
      <c r="BA106" s="379">
        <v>28260</v>
      </c>
      <c r="BB106" s="379">
        <v>28370</v>
      </c>
      <c r="BC106" s="379">
        <v>28510</v>
      </c>
      <c r="BD106" s="379">
        <v>28660</v>
      </c>
      <c r="BE106" s="379">
        <v>28820</v>
      </c>
      <c r="BF106" s="379">
        <v>28960</v>
      </c>
    </row>
    <row r="107" spans="1:58" x14ac:dyDescent="0.2">
      <c r="A107" s="380" t="s">
        <v>48</v>
      </c>
      <c r="B107" s="238"/>
      <c r="C107" s="379">
        <v>28150</v>
      </c>
      <c r="D107" s="379">
        <v>27420</v>
      </c>
      <c r="E107" s="379">
        <v>26510</v>
      </c>
      <c r="F107" s="379">
        <v>26200</v>
      </c>
      <c r="G107" s="379">
        <v>26330</v>
      </c>
      <c r="H107" s="379">
        <v>26460</v>
      </c>
      <c r="I107" s="379">
        <v>26770</v>
      </c>
      <c r="J107" s="379">
        <v>26460</v>
      </c>
      <c r="K107" s="379">
        <v>27210</v>
      </c>
      <c r="L107" s="379">
        <v>26720</v>
      </c>
      <c r="M107" s="379">
        <v>25560</v>
      </c>
      <c r="N107" s="379">
        <v>24590</v>
      </c>
      <c r="O107" s="379">
        <v>23620</v>
      </c>
      <c r="P107" s="379">
        <v>22580</v>
      </c>
      <c r="Q107" s="379">
        <v>22590</v>
      </c>
      <c r="R107" s="379">
        <v>22390</v>
      </c>
      <c r="S107" s="379">
        <v>23240</v>
      </c>
      <c r="T107" s="379">
        <v>23550</v>
      </c>
      <c r="U107" s="379">
        <v>23970</v>
      </c>
      <c r="V107" s="379">
        <v>24650</v>
      </c>
      <c r="W107" s="379">
        <v>25420</v>
      </c>
      <c r="X107" s="379">
        <v>25730</v>
      </c>
      <c r="Y107" s="379">
        <v>26090</v>
      </c>
      <c r="Z107" s="379">
        <v>26520</v>
      </c>
      <c r="AA107" s="379">
        <v>26530</v>
      </c>
      <c r="AB107" s="379">
        <v>27730</v>
      </c>
      <c r="AC107" s="379">
        <v>28480</v>
      </c>
      <c r="AD107" s="379">
        <v>29820</v>
      </c>
      <c r="AE107" s="379">
        <v>30190</v>
      </c>
      <c r="AF107" s="379">
        <v>29380</v>
      </c>
      <c r="AG107" s="379">
        <v>29350</v>
      </c>
      <c r="AH107" s="379">
        <v>28930</v>
      </c>
      <c r="AI107" s="379">
        <v>29010</v>
      </c>
      <c r="AJ107" s="379">
        <v>28520</v>
      </c>
      <c r="AK107" s="379">
        <v>28130</v>
      </c>
      <c r="AL107" s="379">
        <v>27980</v>
      </c>
      <c r="AM107" s="379">
        <v>27470</v>
      </c>
      <c r="AN107" s="379">
        <v>28300</v>
      </c>
      <c r="AO107" s="379">
        <v>27700</v>
      </c>
      <c r="AP107" s="379">
        <v>26940</v>
      </c>
      <c r="AQ107" s="379">
        <v>26820</v>
      </c>
      <c r="AR107" s="379">
        <v>27600</v>
      </c>
      <c r="AS107" s="379">
        <v>27390</v>
      </c>
      <c r="AT107" s="379">
        <v>28020</v>
      </c>
      <c r="AU107" s="379">
        <v>28950</v>
      </c>
      <c r="AV107" s="379">
        <v>29660</v>
      </c>
      <c r="AW107" s="379">
        <v>29050</v>
      </c>
      <c r="AX107" s="379">
        <v>29590</v>
      </c>
      <c r="AY107" s="379">
        <v>29010</v>
      </c>
      <c r="AZ107" s="379">
        <v>28410</v>
      </c>
      <c r="BA107" s="379">
        <v>28420</v>
      </c>
      <c r="BB107" s="379">
        <v>28490</v>
      </c>
      <c r="BC107" s="379">
        <v>28600</v>
      </c>
      <c r="BD107" s="379">
        <v>28750</v>
      </c>
      <c r="BE107" s="379">
        <v>28900</v>
      </c>
      <c r="BF107" s="379">
        <v>29050</v>
      </c>
    </row>
    <row r="108" spans="1:58" x14ac:dyDescent="0.2">
      <c r="A108" s="380" t="s">
        <v>49</v>
      </c>
      <c r="B108" s="238"/>
      <c r="C108" s="379">
        <v>27940</v>
      </c>
      <c r="D108" s="379">
        <v>28160</v>
      </c>
      <c r="E108" s="379">
        <v>27340</v>
      </c>
      <c r="F108" s="379">
        <v>26470</v>
      </c>
      <c r="G108" s="379">
        <v>26190</v>
      </c>
      <c r="H108" s="379">
        <v>26230</v>
      </c>
      <c r="I108" s="379">
        <v>26340</v>
      </c>
      <c r="J108" s="379">
        <v>26660</v>
      </c>
      <c r="K108" s="379">
        <v>26390</v>
      </c>
      <c r="L108" s="379">
        <v>27150</v>
      </c>
      <c r="M108" s="379">
        <v>26670</v>
      </c>
      <c r="N108" s="379">
        <v>25510</v>
      </c>
      <c r="O108" s="379">
        <v>24540</v>
      </c>
      <c r="P108" s="379">
        <v>23580</v>
      </c>
      <c r="Q108" s="379">
        <v>22540</v>
      </c>
      <c r="R108" s="379">
        <v>22550</v>
      </c>
      <c r="S108" s="379">
        <v>22350</v>
      </c>
      <c r="T108" s="379">
        <v>23190</v>
      </c>
      <c r="U108" s="379">
        <v>23500</v>
      </c>
      <c r="V108" s="379">
        <v>23930</v>
      </c>
      <c r="W108" s="379">
        <v>24600</v>
      </c>
      <c r="X108" s="379">
        <v>25380</v>
      </c>
      <c r="Y108" s="379">
        <v>25690</v>
      </c>
      <c r="Z108" s="379">
        <v>26050</v>
      </c>
      <c r="AA108" s="379">
        <v>26480</v>
      </c>
      <c r="AB108" s="379">
        <v>26490</v>
      </c>
      <c r="AC108" s="379">
        <v>27690</v>
      </c>
      <c r="AD108" s="379">
        <v>28440</v>
      </c>
      <c r="AE108" s="379">
        <v>29790</v>
      </c>
      <c r="AF108" s="379">
        <v>30160</v>
      </c>
      <c r="AG108" s="379">
        <v>29350</v>
      </c>
      <c r="AH108" s="379">
        <v>29310</v>
      </c>
      <c r="AI108" s="379">
        <v>28900</v>
      </c>
      <c r="AJ108" s="379">
        <v>28970</v>
      </c>
      <c r="AK108" s="379">
        <v>28490</v>
      </c>
      <c r="AL108" s="379">
        <v>28090</v>
      </c>
      <c r="AM108" s="379">
        <v>27940</v>
      </c>
      <c r="AN108" s="379">
        <v>27440</v>
      </c>
      <c r="AO108" s="379">
        <v>28260</v>
      </c>
      <c r="AP108" s="379">
        <v>27670</v>
      </c>
      <c r="AQ108" s="379">
        <v>26910</v>
      </c>
      <c r="AR108" s="379">
        <v>26790</v>
      </c>
      <c r="AS108" s="379">
        <v>27570</v>
      </c>
      <c r="AT108" s="379">
        <v>27350</v>
      </c>
      <c r="AU108" s="379">
        <v>27990</v>
      </c>
      <c r="AV108" s="379">
        <v>28920</v>
      </c>
      <c r="AW108" s="379">
        <v>29630</v>
      </c>
      <c r="AX108" s="379">
        <v>29020</v>
      </c>
      <c r="AY108" s="379">
        <v>29560</v>
      </c>
      <c r="AZ108" s="379">
        <v>28980</v>
      </c>
      <c r="BA108" s="379">
        <v>28380</v>
      </c>
      <c r="BB108" s="379">
        <v>28400</v>
      </c>
      <c r="BC108" s="379">
        <v>28460</v>
      </c>
      <c r="BD108" s="379">
        <v>28580</v>
      </c>
      <c r="BE108" s="379">
        <v>28720</v>
      </c>
      <c r="BF108" s="379">
        <v>28870</v>
      </c>
    </row>
    <row r="109" spans="1:58" x14ac:dyDescent="0.2">
      <c r="A109" s="380" t="s">
        <v>50</v>
      </c>
      <c r="B109" s="238"/>
      <c r="C109" s="379">
        <v>27400</v>
      </c>
      <c r="D109" s="379">
        <v>27920</v>
      </c>
      <c r="E109" s="379">
        <v>28050</v>
      </c>
      <c r="F109" s="379">
        <v>27270</v>
      </c>
      <c r="G109" s="379">
        <v>26440</v>
      </c>
      <c r="H109" s="379">
        <v>26140</v>
      </c>
      <c r="I109" s="379">
        <v>26130</v>
      </c>
      <c r="J109" s="379">
        <v>26260</v>
      </c>
      <c r="K109" s="379">
        <v>26610</v>
      </c>
      <c r="L109" s="379">
        <v>26360</v>
      </c>
      <c r="M109" s="379">
        <v>27130</v>
      </c>
      <c r="N109" s="379">
        <v>26650</v>
      </c>
      <c r="O109" s="379">
        <v>25490</v>
      </c>
      <c r="P109" s="379">
        <v>24530</v>
      </c>
      <c r="Q109" s="379">
        <v>23560</v>
      </c>
      <c r="R109" s="379">
        <v>22530</v>
      </c>
      <c r="S109" s="379">
        <v>22540</v>
      </c>
      <c r="T109" s="379">
        <v>22340</v>
      </c>
      <c r="U109" s="379">
        <v>23190</v>
      </c>
      <c r="V109" s="379">
        <v>23510</v>
      </c>
      <c r="W109" s="379">
        <v>23930</v>
      </c>
      <c r="X109" s="379">
        <v>24610</v>
      </c>
      <c r="Y109" s="379">
        <v>25400</v>
      </c>
      <c r="Z109" s="379">
        <v>25710</v>
      </c>
      <c r="AA109" s="379">
        <v>26060</v>
      </c>
      <c r="AB109" s="379">
        <v>26500</v>
      </c>
      <c r="AC109" s="379">
        <v>26510</v>
      </c>
      <c r="AD109" s="379">
        <v>27720</v>
      </c>
      <c r="AE109" s="379">
        <v>28470</v>
      </c>
      <c r="AF109" s="379">
        <v>29820</v>
      </c>
      <c r="AG109" s="379">
        <v>30190</v>
      </c>
      <c r="AH109" s="379">
        <v>29380</v>
      </c>
      <c r="AI109" s="379">
        <v>29350</v>
      </c>
      <c r="AJ109" s="379">
        <v>28930</v>
      </c>
      <c r="AK109" s="379">
        <v>29010</v>
      </c>
      <c r="AL109" s="379">
        <v>28520</v>
      </c>
      <c r="AM109" s="379">
        <v>28130</v>
      </c>
      <c r="AN109" s="379">
        <v>27980</v>
      </c>
      <c r="AO109" s="379">
        <v>27470</v>
      </c>
      <c r="AP109" s="379">
        <v>28300</v>
      </c>
      <c r="AQ109" s="379">
        <v>27700</v>
      </c>
      <c r="AR109" s="379">
        <v>26940</v>
      </c>
      <c r="AS109" s="379">
        <v>26820</v>
      </c>
      <c r="AT109" s="379">
        <v>27600</v>
      </c>
      <c r="AU109" s="379">
        <v>27390</v>
      </c>
      <c r="AV109" s="379">
        <v>28020</v>
      </c>
      <c r="AW109" s="379">
        <v>28960</v>
      </c>
      <c r="AX109" s="379">
        <v>29670</v>
      </c>
      <c r="AY109" s="379">
        <v>29060</v>
      </c>
      <c r="AZ109" s="379">
        <v>29600</v>
      </c>
      <c r="BA109" s="379">
        <v>29020</v>
      </c>
      <c r="BB109" s="379">
        <v>28420</v>
      </c>
      <c r="BC109" s="379">
        <v>28440</v>
      </c>
      <c r="BD109" s="379">
        <v>28500</v>
      </c>
      <c r="BE109" s="379">
        <v>28620</v>
      </c>
      <c r="BF109" s="379">
        <v>28760</v>
      </c>
    </row>
    <row r="110" spans="1:58" x14ac:dyDescent="0.2">
      <c r="A110" s="380" t="s">
        <v>51</v>
      </c>
      <c r="B110" s="238"/>
      <c r="C110" s="379">
        <v>26100</v>
      </c>
      <c r="D110" s="379">
        <v>27390</v>
      </c>
      <c r="E110" s="379">
        <v>27860</v>
      </c>
      <c r="F110" s="379">
        <v>27960</v>
      </c>
      <c r="G110" s="379">
        <v>27210</v>
      </c>
      <c r="H110" s="379">
        <v>26350</v>
      </c>
      <c r="I110" s="379">
        <v>26020</v>
      </c>
      <c r="J110" s="379">
        <v>26030</v>
      </c>
      <c r="K110" s="379">
        <v>26190</v>
      </c>
      <c r="L110" s="379">
        <v>26560</v>
      </c>
      <c r="M110" s="379">
        <v>26310</v>
      </c>
      <c r="N110" s="379">
        <v>27090</v>
      </c>
      <c r="O110" s="379">
        <v>26610</v>
      </c>
      <c r="P110" s="379">
        <v>25450</v>
      </c>
      <c r="Q110" s="379">
        <v>24490</v>
      </c>
      <c r="R110" s="379">
        <v>23530</v>
      </c>
      <c r="S110" s="379">
        <v>22500</v>
      </c>
      <c r="T110" s="379">
        <v>22510</v>
      </c>
      <c r="U110" s="379">
        <v>22310</v>
      </c>
      <c r="V110" s="379">
        <v>23170</v>
      </c>
      <c r="W110" s="379">
        <v>23480</v>
      </c>
      <c r="X110" s="379">
        <v>23910</v>
      </c>
      <c r="Y110" s="379">
        <v>24590</v>
      </c>
      <c r="Z110" s="379">
        <v>25380</v>
      </c>
      <c r="AA110" s="379">
        <v>25690</v>
      </c>
      <c r="AB110" s="379">
        <v>26050</v>
      </c>
      <c r="AC110" s="379">
        <v>26490</v>
      </c>
      <c r="AD110" s="379">
        <v>26500</v>
      </c>
      <c r="AE110" s="379">
        <v>27710</v>
      </c>
      <c r="AF110" s="379">
        <v>28460</v>
      </c>
      <c r="AG110" s="379">
        <v>29820</v>
      </c>
      <c r="AH110" s="379">
        <v>30190</v>
      </c>
      <c r="AI110" s="379">
        <v>29380</v>
      </c>
      <c r="AJ110" s="379">
        <v>29350</v>
      </c>
      <c r="AK110" s="379">
        <v>28930</v>
      </c>
      <c r="AL110" s="379">
        <v>29000</v>
      </c>
      <c r="AM110" s="379">
        <v>28520</v>
      </c>
      <c r="AN110" s="379">
        <v>28120</v>
      </c>
      <c r="AO110" s="379">
        <v>27970</v>
      </c>
      <c r="AP110" s="379">
        <v>27470</v>
      </c>
      <c r="AQ110" s="379">
        <v>28300</v>
      </c>
      <c r="AR110" s="379">
        <v>27700</v>
      </c>
      <c r="AS110" s="379">
        <v>26940</v>
      </c>
      <c r="AT110" s="379">
        <v>26820</v>
      </c>
      <c r="AU110" s="379">
        <v>27600</v>
      </c>
      <c r="AV110" s="379">
        <v>27390</v>
      </c>
      <c r="AW110" s="379">
        <v>28020</v>
      </c>
      <c r="AX110" s="379">
        <v>28960</v>
      </c>
      <c r="AY110" s="379">
        <v>29680</v>
      </c>
      <c r="AZ110" s="379">
        <v>29060</v>
      </c>
      <c r="BA110" s="379">
        <v>29610</v>
      </c>
      <c r="BB110" s="379">
        <v>29030</v>
      </c>
      <c r="BC110" s="379">
        <v>28420</v>
      </c>
      <c r="BD110" s="379">
        <v>28440</v>
      </c>
      <c r="BE110" s="379">
        <v>28510</v>
      </c>
      <c r="BF110" s="379">
        <v>28620</v>
      </c>
    </row>
    <row r="111" spans="1:58" x14ac:dyDescent="0.2">
      <c r="A111" s="380" t="s">
        <v>52</v>
      </c>
      <c r="B111" s="238"/>
      <c r="C111" s="379">
        <v>25650</v>
      </c>
      <c r="D111" s="379">
        <v>26060</v>
      </c>
      <c r="E111" s="379">
        <v>27300</v>
      </c>
      <c r="F111" s="379">
        <v>27780</v>
      </c>
      <c r="G111" s="379">
        <v>27920</v>
      </c>
      <c r="H111" s="379">
        <v>27140</v>
      </c>
      <c r="I111" s="379">
        <v>26230</v>
      </c>
      <c r="J111" s="379">
        <v>25910</v>
      </c>
      <c r="K111" s="379">
        <v>25950</v>
      </c>
      <c r="L111" s="379">
        <v>26130</v>
      </c>
      <c r="M111" s="379">
        <v>26500</v>
      </c>
      <c r="N111" s="379">
        <v>26260</v>
      </c>
      <c r="O111" s="379">
        <v>27040</v>
      </c>
      <c r="P111" s="379">
        <v>26560</v>
      </c>
      <c r="Q111" s="379">
        <v>25410</v>
      </c>
      <c r="R111" s="379">
        <v>24450</v>
      </c>
      <c r="S111" s="379">
        <v>23490</v>
      </c>
      <c r="T111" s="379">
        <v>22450</v>
      </c>
      <c r="U111" s="379">
        <v>22470</v>
      </c>
      <c r="V111" s="379">
        <v>22280</v>
      </c>
      <c r="W111" s="379">
        <v>23130</v>
      </c>
      <c r="X111" s="379">
        <v>23450</v>
      </c>
      <c r="Y111" s="379">
        <v>23880</v>
      </c>
      <c r="Z111" s="379">
        <v>24570</v>
      </c>
      <c r="AA111" s="379">
        <v>25350</v>
      </c>
      <c r="AB111" s="379">
        <v>25660</v>
      </c>
      <c r="AC111" s="379">
        <v>26030</v>
      </c>
      <c r="AD111" s="379">
        <v>26470</v>
      </c>
      <c r="AE111" s="379">
        <v>26480</v>
      </c>
      <c r="AF111" s="379">
        <v>27690</v>
      </c>
      <c r="AG111" s="379">
        <v>28450</v>
      </c>
      <c r="AH111" s="379">
        <v>29800</v>
      </c>
      <c r="AI111" s="379">
        <v>30170</v>
      </c>
      <c r="AJ111" s="379">
        <v>29360</v>
      </c>
      <c r="AK111" s="379">
        <v>29330</v>
      </c>
      <c r="AL111" s="379">
        <v>28910</v>
      </c>
      <c r="AM111" s="379">
        <v>28990</v>
      </c>
      <c r="AN111" s="379">
        <v>28510</v>
      </c>
      <c r="AO111" s="379">
        <v>28110</v>
      </c>
      <c r="AP111" s="379">
        <v>27960</v>
      </c>
      <c r="AQ111" s="379">
        <v>27450</v>
      </c>
      <c r="AR111" s="379">
        <v>28280</v>
      </c>
      <c r="AS111" s="379">
        <v>27680</v>
      </c>
      <c r="AT111" s="379">
        <v>26920</v>
      </c>
      <c r="AU111" s="379">
        <v>26800</v>
      </c>
      <c r="AV111" s="379">
        <v>27590</v>
      </c>
      <c r="AW111" s="379">
        <v>27370</v>
      </c>
      <c r="AX111" s="379">
        <v>28010</v>
      </c>
      <c r="AY111" s="379">
        <v>28950</v>
      </c>
      <c r="AZ111" s="379">
        <v>29670</v>
      </c>
      <c r="BA111" s="379">
        <v>29050</v>
      </c>
      <c r="BB111" s="379">
        <v>29600</v>
      </c>
      <c r="BC111" s="379">
        <v>29020</v>
      </c>
      <c r="BD111" s="379">
        <v>28410</v>
      </c>
      <c r="BE111" s="379">
        <v>28430</v>
      </c>
      <c r="BF111" s="379">
        <v>28500</v>
      </c>
    </row>
    <row r="112" spans="1:58" x14ac:dyDescent="0.2">
      <c r="A112" s="380" t="s">
        <v>53</v>
      </c>
      <c r="B112" s="238"/>
      <c r="C112" s="379">
        <v>24500</v>
      </c>
      <c r="D112" s="379">
        <v>25580</v>
      </c>
      <c r="E112" s="379">
        <v>25950</v>
      </c>
      <c r="F112" s="379">
        <v>27220</v>
      </c>
      <c r="G112" s="379">
        <v>27720</v>
      </c>
      <c r="H112" s="379">
        <v>27830</v>
      </c>
      <c r="I112" s="379">
        <v>27010</v>
      </c>
      <c r="J112" s="379">
        <v>26120</v>
      </c>
      <c r="K112" s="379">
        <v>25830</v>
      </c>
      <c r="L112" s="379">
        <v>25880</v>
      </c>
      <c r="M112" s="379">
        <v>26060</v>
      </c>
      <c r="N112" s="379">
        <v>26440</v>
      </c>
      <c r="O112" s="379">
        <v>26200</v>
      </c>
      <c r="P112" s="379">
        <v>26980</v>
      </c>
      <c r="Q112" s="379">
        <v>26510</v>
      </c>
      <c r="R112" s="379">
        <v>25360</v>
      </c>
      <c r="S112" s="379">
        <v>24400</v>
      </c>
      <c r="T112" s="379">
        <v>23440</v>
      </c>
      <c r="U112" s="379">
        <v>22410</v>
      </c>
      <c r="V112" s="379">
        <v>22430</v>
      </c>
      <c r="W112" s="379">
        <v>22230</v>
      </c>
      <c r="X112" s="379">
        <v>23090</v>
      </c>
      <c r="Y112" s="379">
        <v>23410</v>
      </c>
      <c r="Z112" s="379">
        <v>23840</v>
      </c>
      <c r="AA112" s="379">
        <v>24530</v>
      </c>
      <c r="AB112" s="379">
        <v>25320</v>
      </c>
      <c r="AC112" s="379">
        <v>25630</v>
      </c>
      <c r="AD112" s="379">
        <v>26000</v>
      </c>
      <c r="AE112" s="379">
        <v>26440</v>
      </c>
      <c r="AF112" s="379">
        <v>26450</v>
      </c>
      <c r="AG112" s="379">
        <v>27660</v>
      </c>
      <c r="AH112" s="379">
        <v>28420</v>
      </c>
      <c r="AI112" s="379">
        <v>29780</v>
      </c>
      <c r="AJ112" s="379">
        <v>30150</v>
      </c>
      <c r="AK112" s="379">
        <v>29340</v>
      </c>
      <c r="AL112" s="379">
        <v>29310</v>
      </c>
      <c r="AM112" s="379">
        <v>28890</v>
      </c>
      <c r="AN112" s="379">
        <v>28970</v>
      </c>
      <c r="AO112" s="379">
        <v>28480</v>
      </c>
      <c r="AP112" s="379">
        <v>28090</v>
      </c>
      <c r="AQ112" s="379">
        <v>27930</v>
      </c>
      <c r="AR112" s="379">
        <v>27430</v>
      </c>
      <c r="AS112" s="379">
        <v>28260</v>
      </c>
      <c r="AT112" s="379">
        <v>27660</v>
      </c>
      <c r="AU112" s="379">
        <v>26900</v>
      </c>
      <c r="AV112" s="379">
        <v>26780</v>
      </c>
      <c r="AW112" s="379">
        <v>27570</v>
      </c>
      <c r="AX112" s="379">
        <v>27350</v>
      </c>
      <c r="AY112" s="379">
        <v>27990</v>
      </c>
      <c r="AZ112" s="379">
        <v>28940</v>
      </c>
      <c r="BA112" s="379">
        <v>29650</v>
      </c>
      <c r="BB112" s="379">
        <v>29030</v>
      </c>
      <c r="BC112" s="379">
        <v>29590</v>
      </c>
      <c r="BD112" s="379">
        <v>29000</v>
      </c>
      <c r="BE112" s="379">
        <v>28400</v>
      </c>
      <c r="BF112" s="379">
        <v>28410</v>
      </c>
    </row>
    <row r="113" spans="1:58" x14ac:dyDescent="0.2">
      <c r="A113" s="380" t="s">
        <v>54</v>
      </c>
      <c r="B113" s="238"/>
      <c r="C113" s="379">
        <v>23940</v>
      </c>
      <c r="D113" s="379">
        <v>24420</v>
      </c>
      <c r="E113" s="379">
        <v>25510</v>
      </c>
      <c r="F113" s="379">
        <v>25900</v>
      </c>
      <c r="G113" s="379">
        <v>27170</v>
      </c>
      <c r="H113" s="379">
        <v>27610</v>
      </c>
      <c r="I113" s="379">
        <v>27700</v>
      </c>
      <c r="J113" s="379">
        <v>26890</v>
      </c>
      <c r="K113" s="379">
        <v>26030</v>
      </c>
      <c r="L113" s="379">
        <v>25760</v>
      </c>
      <c r="M113" s="379">
        <v>25810</v>
      </c>
      <c r="N113" s="379">
        <v>26000</v>
      </c>
      <c r="O113" s="379">
        <v>26380</v>
      </c>
      <c r="P113" s="379">
        <v>26140</v>
      </c>
      <c r="Q113" s="379">
        <v>26930</v>
      </c>
      <c r="R113" s="379">
        <v>26460</v>
      </c>
      <c r="S113" s="379">
        <v>25310</v>
      </c>
      <c r="T113" s="379">
        <v>24350</v>
      </c>
      <c r="U113" s="379">
        <v>23390</v>
      </c>
      <c r="V113" s="379">
        <v>22360</v>
      </c>
      <c r="W113" s="379">
        <v>22380</v>
      </c>
      <c r="X113" s="379">
        <v>22190</v>
      </c>
      <c r="Y113" s="379">
        <v>23050</v>
      </c>
      <c r="Z113" s="379">
        <v>23370</v>
      </c>
      <c r="AA113" s="379">
        <v>23800</v>
      </c>
      <c r="AB113" s="379">
        <v>24490</v>
      </c>
      <c r="AC113" s="379">
        <v>25280</v>
      </c>
      <c r="AD113" s="379">
        <v>25600</v>
      </c>
      <c r="AE113" s="379">
        <v>25960</v>
      </c>
      <c r="AF113" s="379">
        <v>26400</v>
      </c>
      <c r="AG113" s="379">
        <v>26420</v>
      </c>
      <c r="AH113" s="379">
        <v>27630</v>
      </c>
      <c r="AI113" s="379">
        <v>28390</v>
      </c>
      <c r="AJ113" s="379">
        <v>29750</v>
      </c>
      <c r="AK113" s="379">
        <v>30130</v>
      </c>
      <c r="AL113" s="379">
        <v>29310</v>
      </c>
      <c r="AM113" s="379">
        <v>29280</v>
      </c>
      <c r="AN113" s="379">
        <v>28860</v>
      </c>
      <c r="AO113" s="379">
        <v>28940</v>
      </c>
      <c r="AP113" s="379">
        <v>28460</v>
      </c>
      <c r="AQ113" s="379">
        <v>28060</v>
      </c>
      <c r="AR113" s="379">
        <v>27910</v>
      </c>
      <c r="AS113" s="379">
        <v>27410</v>
      </c>
      <c r="AT113" s="379">
        <v>28240</v>
      </c>
      <c r="AU113" s="379">
        <v>27640</v>
      </c>
      <c r="AV113" s="379">
        <v>26880</v>
      </c>
      <c r="AW113" s="379">
        <v>26760</v>
      </c>
      <c r="AX113" s="379">
        <v>27540</v>
      </c>
      <c r="AY113" s="379">
        <v>27330</v>
      </c>
      <c r="AZ113" s="379">
        <v>27970</v>
      </c>
      <c r="BA113" s="379">
        <v>28920</v>
      </c>
      <c r="BB113" s="379">
        <v>29640</v>
      </c>
      <c r="BC113" s="379">
        <v>29020</v>
      </c>
      <c r="BD113" s="379">
        <v>29570</v>
      </c>
      <c r="BE113" s="379">
        <v>28990</v>
      </c>
      <c r="BF113" s="379">
        <v>28380</v>
      </c>
    </row>
    <row r="114" spans="1:58" x14ac:dyDescent="0.2">
      <c r="A114" s="380" t="s">
        <v>55</v>
      </c>
      <c r="B114" s="238"/>
      <c r="C114" s="379">
        <v>23360</v>
      </c>
      <c r="D114" s="379">
        <v>23840</v>
      </c>
      <c r="E114" s="379">
        <v>24330</v>
      </c>
      <c r="F114" s="379">
        <v>25430</v>
      </c>
      <c r="G114" s="379">
        <v>25850</v>
      </c>
      <c r="H114" s="379">
        <v>27060</v>
      </c>
      <c r="I114" s="379">
        <v>27480</v>
      </c>
      <c r="J114" s="379">
        <v>27590</v>
      </c>
      <c r="K114" s="379">
        <v>26800</v>
      </c>
      <c r="L114" s="379">
        <v>25960</v>
      </c>
      <c r="M114" s="379">
        <v>25690</v>
      </c>
      <c r="N114" s="379">
        <v>25750</v>
      </c>
      <c r="O114" s="379">
        <v>25940</v>
      </c>
      <c r="P114" s="379">
        <v>26330</v>
      </c>
      <c r="Q114" s="379">
        <v>26090</v>
      </c>
      <c r="R114" s="379">
        <v>26880</v>
      </c>
      <c r="S114" s="379">
        <v>26410</v>
      </c>
      <c r="T114" s="379">
        <v>25260</v>
      </c>
      <c r="U114" s="379">
        <v>24310</v>
      </c>
      <c r="V114" s="379">
        <v>23350</v>
      </c>
      <c r="W114" s="379">
        <v>22320</v>
      </c>
      <c r="X114" s="379">
        <v>22340</v>
      </c>
      <c r="Y114" s="379">
        <v>22150</v>
      </c>
      <c r="Z114" s="379">
        <v>23010</v>
      </c>
      <c r="AA114" s="379">
        <v>23330</v>
      </c>
      <c r="AB114" s="379">
        <v>23770</v>
      </c>
      <c r="AC114" s="379">
        <v>24460</v>
      </c>
      <c r="AD114" s="379">
        <v>25250</v>
      </c>
      <c r="AE114" s="379">
        <v>25570</v>
      </c>
      <c r="AF114" s="379">
        <v>25930</v>
      </c>
      <c r="AG114" s="379">
        <v>26370</v>
      </c>
      <c r="AH114" s="379">
        <v>26390</v>
      </c>
      <c r="AI114" s="379">
        <v>27600</v>
      </c>
      <c r="AJ114" s="379">
        <v>28360</v>
      </c>
      <c r="AK114" s="379">
        <v>29730</v>
      </c>
      <c r="AL114" s="379">
        <v>30100</v>
      </c>
      <c r="AM114" s="379">
        <v>29290</v>
      </c>
      <c r="AN114" s="379">
        <v>29260</v>
      </c>
      <c r="AO114" s="379">
        <v>28840</v>
      </c>
      <c r="AP114" s="379">
        <v>28920</v>
      </c>
      <c r="AQ114" s="379">
        <v>28440</v>
      </c>
      <c r="AR114" s="379">
        <v>28040</v>
      </c>
      <c r="AS114" s="379">
        <v>27890</v>
      </c>
      <c r="AT114" s="379">
        <v>27380</v>
      </c>
      <c r="AU114" s="379">
        <v>28220</v>
      </c>
      <c r="AV114" s="379">
        <v>27620</v>
      </c>
      <c r="AW114" s="379">
        <v>26860</v>
      </c>
      <c r="AX114" s="379">
        <v>26730</v>
      </c>
      <c r="AY114" s="379">
        <v>27520</v>
      </c>
      <c r="AZ114" s="379">
        <v>27310</v>
      </c>
      <c r="BA114" s="379">
        <v>27950</v>
      </c>
      <c r="BB114" s="379">
        <v>28900</v>
      </c>
      <c r="BC114" s="379">
        <v>29620</v>
      </c>
      <c r="BD114" s="379">
        <v>29000</v>
      </c>
      <c r="BE114" s="379">
        <v>29560</v>
      </c>
      <c r="BF114" s="379">
        <v>28970</v>
      </c>
    </row>
    <row r="115" spans="1:58" x14ac:dyDescent="0.2">
      <c r="A115" s="380" t="s">
        <v>56</v>
      </c>
      <c r="B115" s="238"/>
      <c r="C115" s="379">
        <v>22380</v>
      </c>
      <c r="D115" s="379">
        <v>23170</v>
      </c>
      <c r="E115" s="379">
        <v>23630</v>
      </c>
      <c r="F115" s="379">
        <v>24130</v>
      </c>
      <c r="G115" s="379">
        <v>25280</v>
      </c>
      <c r="H115" s="379">
        <v>25640</v>
      </c>
      <c r="I115" s="379">
        <v>26840</v>
      </c>
      <c r="J115" s="379">
        <v>27280</v>
      </c>
      <c r="K115" s="379">
        <v>27420</v>
      </c>
      <c r="L115" s="379">
        <v>26670</v>
      </c>
      <c r="M115" s="379">
        <v>25830</v>
      </c>
      <c r="N115" s="379">
        <v>25580</v>
      </c>
      <c r="O115" s="379">
        <v>25650</v>
      </c>
      <c r="P115" s="379">
        <v>25850</v>
      </c>
      <c r="Q115" s="379">
        <v>26240</v>
      </c>
      <c r="R115" s="379">
        <v>26010</v>
      </c>
      <c r="S115" s="379">
        <v>26810</v>
      </c>
      <c r="T115" s="379">
        <v>26350</v>
      </c>
      <c r="U115" s="379">
        <v>25200</v>
      </c>
      <c r="V115" s="379">
        <v>24260</v>
      </c>
      <c r="W115" s="379">
        <v>23300</v>
      </c>
      <c r="X115" s="379">
        <v>22270</v>
      </c>
      <c r="Y115" s="379">
        <v>22290</v>
      </c>
      <c r="Z115" s="379">
        <v>22110</v>
      </c>
      <c r="AA115" s="379">
        <v>22970</v>
      </c>
      <c r="AB115" s="379">
        <v>23300</v>
      </c>
      <c r="AC115" s="379">
        <v>23730</v>
      </c>
      <c r="AD115" s="379">
        <v>24430</v>
      </c>
      <c r="AE115" s="379">
        <v>25220</v>
      </c>
      <c r="AF115" s="379">
        <v>25540</v>
      </c>
      <c r="AG115" s="379">
        <v>25900</v>
      </c>
      <c r="AH115" s="379">
        <v>26350</v>
      </c>
      <c r="AI115" s="379">
        <v>26360</v>
      </c>
      <c r="AJ115" s="379">
        <v>27580</v>
      </c>
      <c r="AK115" s="379">
        <v>28340</v>
      </c>
      <c r="AL115" s="379">
        <v>29710</v>
      </c>
      <c r="AM115" s="379">
        <v>30090</v>
      </c>
      <c r="AN115" s="379">
        <v>29270</v>
      </c>
      <c r="AO115" s="379">
        <v>29240</v>
      </c>
      <c r="AP115" s="379">
        <v>28830</v>
      </c>
      <c r="AQ115" s="379">
        <v>28900</v>
      </c>
      <c r="AR115" s="379">
        <v>28420</v>
      </c>
      <c r="AS115" s="379">
        <v>28020</v>
      </c>
      <c r="AT115" s="379">
        <v>27870</v>
      </c>
      <c r="AU115" s="379">
        <v>27370</v>
      </c>
      <c r="AV115" s="379">
        <v>28210</v>
      </c>
      <c r="AW115" s="379">
        <v>27610</v>
      </c>
      <c r="AX115" s="379">
        <v>26840</v>
      </c>
      <c r="AY115" s="379">
        <v>26720</v>
      </c>
      <c r="AZ115" s="379">
        <v>27510</v>
      </c>
      <c r="BA115" s="379">
        <v>27300</v>
      </c>
      <c r="BB115" s="379">
        <v>27940</v>
      </c>
      <c r="BC115" s="379">
        <v>28890</v>
      </c>
      <c r="BD115" s="379">
        <v>29620</v>
      </c>
      <c r="BE115" s="379">
        <v>29000</v>
      </c>
      <c r="BF115" s="379">
        <v>29550</v>
      </c>
    </row>
    <row r="116" spans="1:58" x14ac:dyDescent="0.2">
      <c r="A116" s="380" t="s">
        <v>57</v>
      </c>
      <c r="B116" s="238"/>
      <c r="C116" s="379">
        <v>21520</v>
      </c>
      <c r="D116" s="379">
        <v>22090</v>
      </c>
      <c r="E116" s="379">
        <v>22870</v>
      </c>
      <c r="F116" s="379">
        <v>23350</v>
      </c>
      <c r="G116" s="379">
        <v>23950</v>
      </c>
      <c r="H116" s="379">
        <v>25020</v>
      </c>
      <c r="I116" s="379">
        <v>25370</v>
      </c>
      <c r="J116" s="379">
        <v>26590</v>
      </c>
      <c r="K116" s="379">
        <v>27060</v>
      </c>
      <c r="L116" s="379">
        <v>27240</v>
      </c>
      <c r="M116" s="379">
        <v>26500</v>
      </c>
      <c r="N116" s="379">
        <v>25690</v>
      </c>
      <c r="O116" s="379">
        <v>25450</v>
      </c>
      <c r="P116" s="379">
        <v>25530</v>
      </c>
      <c r="Q116" s="379">
        <v>25740</v>
      </c>
      <c r="R116" s="379">
        <v>26150</v>
      </c>
      <c r="S116" s="379">
        <v>25930</v>
      </c>
      <c r="T116" s="379">
        <v>26730</v>
      </c>
      <c r="U116" s="379">
        <v>26280</v>
      </c>
      <c r="V116" s="379">
        <v>25150</v>
      </c>
      <c r="W116" s="379">
        <v>24210</v>
      </c>
      <c r="X116" s="379">
        <v>23250</v>
      </c>
      <c r="Y116" s="379">
        <v>22230</v>
      </c>
      <c r="Z116" s="379">
        <v>22260</v>
      </c>
      <c r="AA116" s="379">
        <v>22080</v>
      </c>
      <c r="AB116" s="379">
        <v>22940</v>
      </c>
      <c r="AC116" s="379">
        <v>23270</v>
      </c>
      <c r="AD116" s="379">
        <v>23710</v>
      </c>
      <c r="AE116" s="379">
        <v>24410</v>
      </c>
      <c r="AF116" s="379">
        <v>25200</v>
      </c>
      <c r="AG116" s="379">
        <v>25520</v>
      </c>
      <c r="AH116" s="379">
        <v>25890</v>
      </c>
      <c r="AI116" s="379">
        <v>26330</v>
      </c>
      <c r="AJ116" s="379">
        <v>26350</v>
      </c>
      <c r="AK116" s="379">
        <v>27570</v>
      </c>
      <c r="AL116" s="379">
        <v>28330</v>
      </c>
      <c r="AM116" s="379">
        <v>29700</v>
      </c>
      <c r="AN116" s="379">
        <v>30080</v>
      </c>
      <c r="AO116" s="379">
        <v>29260</v>
      </c>
      <c r="AP116" s="379">
        <v>29240</v>
      </c>
      <c r="AQ116" s="379">
        <v>28820</v>
      </c>
      <c r="AR116" s="379">
        <v>28900</v>
      </c>
      <c r="AS116" s="379">
        <v>28410</v>
      </c>
      <c r="AT116" s="379">
        <v>28020</v>
      </c>
      <c r="AU116" s="379">
        <v>27870</v>
      </c>
      <c r="AV116" s="379">
        <v>27360</v>
      </c>
      <c r="AW116" s="379">
        <v>28200</v>
      </c>
      <c r="AX116" s="379">
        <v>27600</v>
      </c>
      <c r="AY116" s="379">
        <v>26840</v>
      </c>
      <c r="AZ116" s="379">
        <v>26720</v>
      </c>
      <c r="BA116" s="379">
        <v>27510</v>
      </c>
      <c r="BB116" s="379">
        <v>27300</v>
      </c>
      <c r="BC116" s="379">
        <v>27940</v>
      </c>
      <c r="BD116" s="379">
        <v>28890</v>
      </c>
      <c r="BE116" s="379">
        <v>29620</v>
      </c>
      <c r="BF116" s="379">
        <v>29000</v>
      </c>
    </row>
    <row r="117" spans="1:58" x14ac:dyDescent="0.2">
      <c r="A117" s="380" t="s">
        <v>58</v>
      </c>
      <c r="B117" s="238"/>
      <c r="C117" s="379">
        <v>20290</v>
      </c>
      <c r="D117" s="379">
        <v>21200</v>
      </c>
      <c r="E117" s="379">
        <v>21770</v>
      </c>
      <c r="F117" s="379">
        <v>22590</v>
      </c>
      <c r="G117" s="379">
        <v>23130</v>
      </c>
      <c r="H117" s="379">
        <v>23660</v>
      </c>
      <c r="I117" s="379">
        <v>24740</v>
      </c>
      <c r="J117" s="379">
        <v>25120</v>
      </c>
      <c r="K117" s="379">
        <v>26380</v>
      </c>
      <c r="L117" s="379">
        <v>26880</v>
      </c>
      <c r="M117" s="379">
        <v>27070</v>
      </c>
      <c r="N117" s="379">
        <v>26360</v>
      </c>
      <c r="O117" s="379">
        <v>25570</v>
      </c>
      <c r="P117" s="379">
        <v>25350</v>
      </c>
      <c r="Q117" s="379">
        <v>25440</v>
      </c>
      <c r="R117" s="379">
        <v>25670</v>
      </c>
      <c r="S117" s="379">
        <v>26090</v>
      </c>
      <c r="T117" s="379">
        <v>25880</v>
      </c>
      <c r="U117" s="379">
        <v>26700</v>
      </c>
      <c r="V117" s="379">
        <v>26260</v>
      </c>
      <c r="W117" s="379">
        <v>25130</v>
      </c>
      <c r="X117" s="379">
        <v>24200</v>
      </c>
      <c r="Y117" s="379">
        <v>23250</v>
      </c>
      <c r="Z117" s="379">
        <v>22240</v>
      </c>
      <c r="AA117" s="379">
        <v>22270</v>
      </c>
      <c r="AB117" s="379">
        <v>22090</v>
      </c>
      <c r="AC117" s="379">
        <v>22960</v>
      </c>
      <c r="AD117" s="379">
        <v>23290</v>
      </c>
      <c r="AE117" s="379">
        <v>23730</v>
      </c>
      <c r="AF117" s="379">
        <v>24430</v>
      </c>
      <c r="AG117" s="379">
        <v>25230</v>
      </c>
      <c r="AH117" s="379">
        <v>25550</v>
      </c>
      <c r="AI117" s="379">
        <v>25910</v>
      </c>
      <c r="AJ117" s="379">
        <v>26360</v>
      </c>
      <c r="AK117" s="379">
        <v>26380</v>
      </c>
      <c r="AL117" s="379">
        <v>27600</v>
      </c>
      <c r="AM117" s="379">
        <v>28370</v>
      </c>
      <c r="AN117" s="379">
        <v>29740</v>
      </c>
      <c r="AO117" s="379">
        <v>30120</v>
      </c>
      <c r="AP117" s="379">
        <v>29310</v>
      </c>
      <c r="AQ117" s="379">
        <v>29280</v>
      </c>
      <c r="AR117" s="379">
        <v>28860</v>
      </c>
      <c r="AS117" s="379">
        <v>28940</v>
      </c>
      <c r="AT117" s="379">
        <v>28460</v>
      </c>
      <c r="AU117" s="379">
        <v>28060</v>
      </c>
      <c r="AV117" s="379">
        <v>27910</v>
      </c>
      <c r="AW117" s="379">
        <v>27400</v>
      </c>
      <c r="AX117" s="379">
        <v>28250</v>
      </c>
      <c r="AY117" s="379">
        <v>27640</v>
      </c>
      <c r="AZ117" s="379">
        <v>26880</v>
      </c>
      <c r="BA117" s="379">
        <v>26760</v>
      </c>
      <c r="BB117" s="379">
        <v>27550</v>
      </c>
      <c r="BC117" s="379">
        <v>27340</v>
      </c>
      <c r="BD117" s="379">
        <v>27990</v>
      </c>
      <c r="BE117" s="379">
        <v>28940</v>
      </c>
      <c r="BF117" s="379">
        <v>29670</v>
      </c>
    </row>
    <row r="118" spans="1:58" x14ac:dyDescent="0.2">
      <c r="A118" s="380" t="s">
        <v>59</v>
      </c>
      <c r="B118" s="238"/>
      <c r="C118" s="379">
        <v>19620</v>
      </c>
      <c r="D118" s="379">
        <v>19940</v>
      </c>
      <c r="E118" s="379">
        <v>20860</v>
      </c>
      <c r="F118" s="379">
        <v>21470</v>
      </c>
      <c r="G118" s="379">
        <v>22350</v>
      </c>
      <c r="H118" s="379">
        <v>22870</v>
      </c>
      <c r="I118" s="379">
        <v>23410</v>
      </c>
      <c r="J118" s="379">
        <v>24530</v>
      </c>
      <c r="K118" s="379">
        <v>24950</v>
      </c>
      <c r="L118" s="379">
        <v>26240</v>
      </c>
      <c r="M118" s="379">
        <v>26770</v>
      </c>
      <c r="N118" s="379">
        <v>26990</v>
      </c>
      <c r="O118" s="379">
        <v>26310</v>
      </c>
      <c r="P118" s="379">
        <v>25540</v>
      </c>
      <c r="Q118" s="379">
        <v>25340</v>
      </c>
      <c r="R118" s="379">
        <v>25450</v>
      </c>
      <c r="S118" s="379">
        <v>25690</v>
      </c>
      <c r="T118" s="379">
        <v>26130</v>
      </c>
      <c r="U118" s="379">
        <v>25940</v>
      </c>
      <c r="V118" s="379">
        <v>26770</v>
      </c>
      <c r="W118" s="379">
        <v>26340</v>
      </c>
      <c r="X118" s="379">
        <v>25220</v>
      </c>
      <c r="Y118" s="379">
        <v>24300</v>
      </c>
      <c r="Z118" s="379">
        <v>23350</v>
      </c>
      <c r="AA118" s="379">
        <v>22340</v>
      </c>
      <c r="AB118" s="379">
        <v>22370</v>
      </c>
      <c r="AC118" s="379">
        <v>22200</v>
      </c>
      <c r="AD118" s="379">
        <v>23080</v>
      </c>
      <c r="AE118" s="379">
        <v>23410</v>
      </c>
      <c r="AF118" s="379">
        <v>23850</v>
      </c>
      <c r="AG118" s="379">
        <v>24560</v>
      </c>
      <c r="AH118" s="379">
        <v>25360</v>
      </c>
      <c r="AI118" s="379">
        <v>25680</v>
      </c>
      <c r="AJ118" s="379">
        <v>26050</v>
      </c>
      <c r="AK118" s="379">
        <v>26500</v>
      </c>
      <c r="AL118" s="379">
        <v>26510</v>
      </c>
      <c r="AM118" s="379">
        <v>27750</v>
      </c>
      <c r="AN118" s="379">
        <v>28520</v>
      </c>
      <c r="AO118" s="379">
        <v>29900</v>
      </c>
      <c r="AP118" s="379">
        <v>30290</v>
      </c>
      <c r="AQ118" s="379">
        <v>29470</v>
      </c>
      <c r="AR118" s="379">
        <v>29440</v>
      </c>
      <c r="AS118" s="379">
        <v>29020</v>
      </c>
      <c r="AT118" s="379">
        <v>29100</v>
      </c>
      <c r="AU118" s="379">
        <v>28610</v>
      </c>
      <c r="AV118" s="379">
        <v>28220</v>
      </c>
      <c r="AW118" s="379">
        <v>28070</v>
      </c>
      <c r="AX118" s="379">
        <v>27560</v>
      </c>
      <c r="AY118" s="379">
        <v>28410</v>
      </c>
      <c r="AZ118" s="379">
        <v>27800</v>
      </c>
      <c r="BA118" s="379">
        <v>27030</v>
      </c>
      <c r="BB118" s="379">
        <v>26910</v>
      </c>
      <c r="BC118" s="379">
        <v>27710</v>
      </c>
      <c r="BD118" s="379">
        <v>27500</v>
      </c>
      <c r="BE118" s="379">
        <v>28150</v>
      </c>
      <c r="BF118" s="379">
        <v>29110</v>
      </c>
    </row>
    <row r="119" spans="1:58" x14ac:dyDescent="0.2">
      <c r="A119" s="380" t="s">
        <v>60</v>
      </c>
      <c r="B119" s="238"/>
      <c r="C119" s="379">
        <v>18880</v>
      </c>
      <c r="D119" s="379">
        <v>19260</v>
      </c>
      <c r="E119" s="379">
        <v>19640</v>
      </c>
      <c r="F119" s="379">
        <v>20570</v>
      </c>
      <c r="G119" s="379">
        <v>21230</v>
      </c>
      <c r="H119" s="379">
        <v>22080</v>
      </c>
      <c r="I119" s="379">
        <v>22640</v>
      </c>
      <c r="J119" s="379">
        <v>23210</v>
      </c>
      <c r="K119" s="379">
        <v>24360</v>
      </c>
      <c r="L119" s="379">
        <v>24830</v>
      </c>
      <c r="M119" s="379">
        <v>26140</v>
      </c>
      <c r="N119" s="379">
        <v>26700</v>
      </c>
      <c r="O119" s="379">
        <v>26940</v>
      </c>
      <c r="P119" s="379">
        <v>26290</v>
      </c>
      <c r="Q119" s="379">
        <v>25540</v>
      </c>
      <c r="R119" s="379">
        <v>25360</v>
      </c>
      <c r="S119" s="379">
        <v>25490</v>
      </c>
      <c r="T119" s="379">
        <v>25750</v>
      </c>
      <c r="U119" s="379">
        <v>26210</v>
      </c>
      <c r="V119" s="379">
        <v>26030</v>
      </c>
      <c r="W119" s="379">
        <v>26880</v>
      </c>
      <c r="X119" s="379">
        <v>26460</v>
      </c>
      <c r="Y119" s="379">
        <v>25340</v>
      </c>
      <c r="Z119" s="379">
        <v>24420</v>
      </c>
      <c r="AA119" s="379">
        <v>23480</v>
      </c>
      <c r="AB119" s="379">
        <v>22460</v>
      </c>
      <c r="AC119" s="379">
        <v>22500</v>
      </c>
      <c r="AD119" s="379">
        <v>22320</v>
      </c>
      <c r="AE119" s="379">
        <v>23210</v>
      </c>
      <c r="AF119" s="379">
        <v>23540</v>
      </c>
      <c r="AG119" s="379">
        <v>23990</v>
      </c>
      <c r="AH119" s="379">
        <v>24690</v>
      </c>
      <c r="AI119" s="379">
        <v>25500</v>
      </c>
      <c r="AJ119" s="379">
        <v>25820</v>
      </c>
      <c r="AK119" s="379">
        <v>26190</v>
      </c>
      <c r="AL119" s="379">
        <v>26650</v>
      </c>
      <c r="AM119" s="379">
        <v>26670</v>
      </c>
      <c r="AN119" s="379">
        <v>27910</v>
      </c>
      <c r="AO119" s="379">
        <v>28690</v>
      </c>
      <c r="AP119" s="379">
        <v>30080</v>
      </c>
      <c r="AQ119" s="379">
        <v>30460</v>
      </c>
      <c r="AR119" s="379">
        <v>29640</v>
      </c>
      <c r="AS119" s="379">
        <v>29610</v>
      </c>
      <c r="AT119" s="379">
        <v>29190</v>
      </c>
      <c r="AU119" s="379">
        <v>29280</v>
      </c>
      <c r="AV119" s="379">
        <v>28790</v>
      </c>
      <c r="AW119" s="379">
        <v>28390</v>
      </c>
      <c r="AX119" s="379">
        <v>28240</v>
      </c>
      <c r="AY119" s="379">
        <v>27730</v>
      </c>
      <c r="AZ119" s="379">
        <v>28580</v>
      </c>
      <c r="BA119" s="379">
        <v>27970</v>
      </c>
      <c r="BB119" s="379">
        <v>27200</v>
      </c>
      <c r="BC119" s="379">
        <v>27080</v>
      </c>
      <c r="BD119" s="379">
        <v>27880</v>
      </c>
      <c r="BE119" s="379">
        <v>27670</v>
      </c>
      <c r="BF119" s="379">
        <v>28330</v>
      </c>
    </row>
    <row r="120" spans="1:58" x14ac:dyDescent="0.2">
      <c r="A120" s="380" t="s">
        <v>61</v>
      </c>
      <c r="B120" s="238"/>
      <c r="C120" s="379">
        <v>18540</v>
      </c>
      <c r="D120" s="379">
        <v>18560</v>
      </c>
      <c r="E120" s="379">
        <v>18920</v>
      </c>
      <c r="F120" s="379">
        <v>19390</v>
      </c>
      <c r="G120" s="379">
        <v>20340</v>
      </c>
      <c r="H120" s="379">
        <v>21030</v>
      </c>
      <c r="I120" s="379">
        <v>21870</v>
      </c>
      <c r="J120" s="379">
        <v>22460</v>
      </c>
      <c r="K120" s="379">
        <v>23090</v>
      </c>
      <c r="L120" s="379">
        <v>24280</v>
      </c>
      <c r="M120" s="379">
        <v>24770</v>
      </c>
      <c r="N120" s="379">
        <v>26110</v>
      </c>
      <c r="O120" s="379">
        <v>26700</v>
      </c>
      <c r="P120" s="379">
        <v>26980</v>
      </c>
      <c r="Q120" s="379">
        <v>26340</v>
      </c>
      <c r="R120" s="379">
        <v>25620</v>
      </c>
      <c r="S120" s="379">
        <v>25460</v>
      </c>
      <c r="T120" s="379">
        <v>25610</v>
      </c>
      <c r="U120" s="379">
        <v>25890</v>
      </c>
      <c r="V120" s="379">
        <v>26360</v>
      </c>
      <c r="W120" s="379">
        <v>26200</v>
      </c>
      <c r="X120" s="379">
        <v>27070</v>
      </c>
      <c r="Y120" s="379">
        <v>26660</v>
      </c>
      <c r="Z120" s="379">
        <v>25540</v>
      </c>
      <c r="AA120" s="379">
        <v>24620</v>
      </c>
      <c r="AB120" s="379">
        <v>23670</v>
      </c>
      <c r="AC120" s="379">
        <v>22650</v>
      </c>
      <c r="AD120" s="379">
        <v>22690</v>
      </c>
      <c r="AE120" s="379">
        <v>22510</v>
      </c>
      <c r="AF120" s="379">
        <v>23400</v>
      </c>
      <c r="AG120" s="379">
        <v>23740</v>
      </c>
      <c r="AH120" s="379">
        <v>24180</v>
      </c>
      <c r="AI120" s="379">
        <v>24890</v>
      </c>
      <c r="AJ120" s="379">
        <v>25710</v>
      </c>
      <c r="AK120" s="379">
        <v>26030</v>
      </c>
      <c r="AL120" s="379">
        <v>26410</v>
      </c>
      <c r="AM120" s="379">
        <v>26870</v>
      </c>
      <c r="AN120" s="379">
        <v>26890</v>
      </c>
      <c r="AO120" s="379">
        <v>28140</v>
      </c>
      <c r="AP120" s="379">
        <v>28930</v>
      </c>
      <c r="AQ120" s="379">
        <v>30330</v>
      </c>
      <c r="AR120" s="379">
        <v>30720</v>
      </c>
      <c r="AS120" s="379">
        <v>29890</v>
      </c>
      <c r="AT120" s="379">
        <v>29860</v>
      </c>
      <c r="AU120" s="379">
        <v>29440</v>
      </c>
      <c r="AV120" s="379">
        <v>29520</v>
      </c>
      <c r="AW120" s="379">
        <v>29030</v>
      </c>
      <c r="AX120" s="379">
        <v>28630</v>
      </c>
      <c r="AY120" s="379">
        <v>28480</v>
      </c>
      <c r="AZ120" s="379">
        <v>27970</v>
      </c>
      <c r="BA120" s="379">
        <v>28830</v>
      </c>
      <c r="BB120" s="379">
        <v>28210</v>
      </c>
      <c r="BC120" s="379">
        <v>27430</v>
      </c>
      <c r="BD120" s="379">
        <v>27310</v>
      </c>
      <c r="BE120" s="379">
        <v>28130</v>
      </c>
      <c r="BF120" s="379">
        <v>27910</v>
      </c>
    </row>
    <row r="121" spans="1:58" x14ac:dyDescent="0.2">
      <c r="A121" s="380" t="s">
        <v>62</v>
      </c>
      <c r="B121" s="238"/>
      <c r="C121" s="379">
        <v>17430</v>
      </c>
      <c r="D121" s="379">
        <v>18190</v>
      </c>
      <c r="E121" s="379">
        <v>18240</v>
      </c>
      <c r="F121" s="379">
        <v>18640</v>
      </c>
      <c r="G121" s="379">
        <v>19180</v>
      </c>
      <c r="H121" s="379">
        <v>20130</v>
      </c>
      <c r="I121" s="379">
        <v>20820</v>
      </c>
      <c r="J121" s="379">
        <v>21700</v>
      </c>
      <c r="K121" s="379">
        <v>22340</v>
      </c>
      <c r="L121" s="379">
        <v>23000</v>
      </c>
      <c r="M121" s="379">
        <v>24210</v>
      </c>
      <c r="N121" s="379">
        <v>24740</v>
      </c>
      <c r="O121" s="379">
        <v>26110</v>
      </c>
      <c r="P121" s="379">
        <v>26720</v>
      </c>
      <c r="Q121" s="379">
        <v>27020</v>
      </c>
      <c r="R121" s="379">
        <v>26410</v>
      </c>
      <c r="S121" s="379">
        <v>25710</v>
      </c>
      <c r="T121" s="379">
        <v>25560</v>
      </c>
      <c r="U121" s="379">
        <v>25740</v>
      </c>
      <c r="V121" s="379">
        <v>26030</v>
      </c>
      <c r="W121" s="379">
        <v>26520</v>
      </c>
      <c r="X121" s="379">
        <v>26360</v>
      </c>
      <c r="Y121" s="379">
        <v>27250</v>
      </c>
      <c r="Z121" s="379">
        <v>26840</v>
      </c>
      <c r="AA121" s="379">
        <v>25720</v>
      </c>
      <c r="AB121" s="379">
        <v>24790</v>
      </c>
      <c r="AC121" s="379">
        <v>23850</v>
      </c>
      <c r="AD121" s="379">
        <v>22820</v>
      </c>
      <c r="AE121" s="379">
        <v>22860</v>
      </c>
      <c r="AF121" s="379">
        <v>22670</v>
      </c>
      <c r="AG121" s="379">
        <v>23570</v>
      </c>
      <c r="AH121" s="379">
        <v>23900</v>
      </c>
      <c r="AI121" s="379">
        <v>24350</v>
      </c>
      <c r="AJ121" s="379">
        <v>25070</v>
      </c>
      <c r="AK121" s="379">
        <v>25890</v>
      </c>
      <c r="AL121" s="379">
        <v>26210</v>
      </c>
      <c r="AM121" s="379">
        <v>26590</v>
      </c>
      <c r="AN121" s="379">
        <v>27060</v>
      </c>
      <c r="AO121" s="379">
        <v>27080</v>
      </c>
      <c r="AP121" s="379">
        <v>28340</v>
      </c>
      <c r="AQ121" s="379">
        <v>29130</v>
      </c>
      <c r="AR121" s="379">
        <v>30540</v>
      </c>
      <c r="AS121" s="379">
        <v>30940</v>
      </c>
      <c r="AT121" s="379">
        <v>30100</v>
      </c>
      <c r="AU121" s="379">
        <v>30080</v>
      </c>
      <c r="AV121" s="379">
        <v>29650</v>
      </c>
      <c r="AW121" s="379">
        <v>29740</v>
      </c>
      <c r="AX121" s="379">
        <v>29240</v>
      </c>
      <c r="AY121" s="379">
        <v>28840</v>
      </c>
      <c r="AZ121" s="379">
        <v>28690</v>
      </c>
      <c r="BA121" s="379">
        <v>28170</v>
      </c>
      <c r="BB121" s="379">
        <v>29040</v>
      </c>
      <c r="BC121" s="379">
        <v>28420</v>
      </c>
      <c r="BD121" s="379">
        <v>27640</v>
      </c>
      <c r="BE121" s="379">
        <v>27520</v>
      </c>
      <c r="BF121" s="379">
        <v>28340</v>
      </c>
    </row>
    <row r="122" spans="1:58" x14ac:dyDescent="0.2">
      <c r="A122" s="380" t="s">
        <v>63</v>
      </c>
      <c r="B122" s="238"/>
      <c r="C122" s="379">
        <v>17180</v>
      </c>
      <c r="D122" s="379">
        <v>17110</v>
      </c>
      <c r="E122" s="379">
        <v>17860</v>
      </c>
      <c r="F122" s="379">
        <v>17950</v>
      </c>
      <c r="G122" s="379">
        <v>18420</v>
      </c>
      <c r="H122" s="379">
        <v>18950</v>
      </c>
      <c r="I122" s="379">
        <v>19900</v>
      </c>
      <c r="J122" s="379">
        <v>20630</v>
      </c>
      <c r="K122" s="379">
        <v>21540</v>
      </c>
      <c r="L122" s="379">
        <v>22200</v>
      </c>
      <c r="M122" s="379">
        <v>22890</v>
      </c>
      <c r="N122" s="379">
        <v>24120</v>
      </c>
      <c r="O122" s="379">
        <v>24670</v>
      </c>
      <c r="P122" s="379">
        <v>26050</v>
      </c>
      <c r="Q122" s="379">
        <v>26680</v>
      </c>
      <c r="R122" s="379">
        <v>27000</v>
      </c>
      <c r="S122" s="379">
        <v>26410</v>
      </c>
      <c r="T122" s="379">
        <v>25720</v>
      </c>
      <c r="U122" s="379">
        <v>25590</v>
      </c>
      <c r="V122" s="379">
        <v>25770</v>
      </c>
      <c r="W122" s="379">
        <v>26070</v>
      </c>
      <c r="X122" s="379">
        <v>26570</v>
      </c>
      <c r="Y122" s="379">
        <v>26420</v>
      </c>
      <c r="Z122" s="379">
        <v>27310</v>
      </c>
      <c r="AA122" s="379">
        <v>26900</v>
      </c>
      <c r="AB122" s="379">
        <v>25790</v>
      </c>
      <c r="AC122" s="379">
        <v>24860</v>
      </c>
      <c r="AD122" s="379">
        <v>23910</v>
      </c>
      <c r="AE122" s="379">
        <v>22870</v>
      </c>
      <c r="AF122" s="379">
        <v>22910</v>
      </c>
      <c r="AG122" s="379">
        <v>22720</v>
      </c>
      <c r="AH122" s="379">
        <v>23610</v>
      </c>
      <c r="AI122" s="379">
        <v>23940</v>
      </c>
      <c r="AJ122" s="379">
        <v>24390</v>
      </c>
      <c r="AK122" s="379">
        <v>25110</v>
      </c>
      <c r="AL122" s="379">
        <v>25930</v>
      </c>
      <c r="AM122" s="379">
        <v>26260</v>
      </c>
      <c r="AN122" s="379">
        <v>26640</v>
      </c>
      <c r="AO122" s="379">
        <v>27110</v>
      </c>
      <c r="AP122" s="379">
        <v>27130</v>
      </c>
      <c r="AQ122" s="379">
        <v>28390</v>
      </c>
      <c r="AR122" s="379">
        <v>29190</v>
      </c>
      <c r="AS122" s="379">
        <v>30600</v>
      </c>
      <c r="AT122" s="379">
        <v>31000</v>
      </c>
      <c r="AU122" s="379">
        <v>30160</v>
      </c>
      <c r="AV122" s="379">
        <v>30140</v>
      </c>
      <c r="AW122" s="379">
        <v>29720</v>
      </c>
      <c r="AX122" s="379">
        <v>29800</v>
      </c>
      <c r="AY122" s="379">
        <v>29310</v>
      </c>
      <c r="AZ122" s="379">
        <v>28900</v>
      </c>
      <c r="BA122" s="379">
        <v>28750</v>
      </c>
      <c r="BB122" s="379">
        <v>28240</v>
      </c>
      <c r="BC122" s="379">
        <v>29110</v>
      </c>
      <c r="BD122" s="379">
        <v>28490</v>
      </c>
      <c r="BE122" s="379">
        <v>27710</v>
      </c>
      <c r="BF122" s="379">
        <v>27590</v>
      </c>
    </row>
    <row r="123" spans="1:58" x14ac:dyDescent="0.2">
      <c r="A123" s="380" t="s">
        <v>64</v>
      </c>
      <c r="B123" s="238"/>
      <c r="C123" s="379">
        <v>16570</v>
      </c>
      <c r="D123" s="379">
        <v>16710</v>
      </c>
      <c r="E123" s="379">
        <v>16630</v>
      </c>
      <c r="F123" s="379">
        <v>17410</v>
      </c>
      <c r="G123" s="379">
        <v>17530</v>
      </c>
      <c r="H123" s="379">
        <v>18040</v>
      </c>
      <c r="I123" s="379">
        <v>18570</v>
      </c>
      <c r="J123" s="379">
        <v>19530</v>
      </c>
      <c r="K123" s="379">
        <v>20280</v>
      </c>
      <c r="L123" s="379">
        <v>21210</v>
      </c>
      <c r="M123" s="379">
        <v>21900</v>
      </c>
      <c r="N123" s="379">
        <v>22590</v>
      </c>
      <c r="O123" s="379">
        <v>23840</v>
      </c>
      <c r="P123" s="379">
        <v>24400</v>
      </c>
      <c r="Q123" s="379">
        <v>25780</v>
      </c>
      <c r="R123" s="379">
        <v>26430</v>
      </c>
      <c r="S123" s="379">
        <v>26760</v>
      </c>
      <c r="T123" s="379">
        <v>26190</v>
      </c>
      <c r="U123" s="379">
        <v>25520</v>
      </c>
      <c r="V123" s="379">
        <v>25400</v>
      </c>
      <c r="W123" s="379">
        <v>25590</v>
      </c>
      <c r="X123" s="379">
        <v>25900</v>
      </c>
      <c r="Y123" s="379">
        <v>26400</v>
      </c>
      <c r="Z123" s="379">
        <v>26250</v>
      </c>
      <c r="AA123" s="379">
        <v>27130</v>
      </c>
      <c r="AB123" s="379">
        <v>26730</v>
      </c>
      <c r="AC123" s="379">
        <v>25620</v>
      </c>
      <c r="AD123" s="379">
        <v>24700</v>
      </c>
      <c r="AE123" s="379">
        <v>23750</v>
      </c>
      <c r="AF123" s="379">
        <v>22720</v>
      </c>
      <c r="AG123" s="379">
        <v>22750</v>
      </c>
      <c r="AH123" s="379">
        <v>22560</v>
      </c>
      <c r="AI123" s="379">
        <v>23440</v>
      </c>
      <c r="AJ123" s="379">
        <v>23770</v>
      </c>
      <c r="AK123" s="379">
        <v>24220</v>
      </c>
      <c r="AL123" s="379">
        <v>24930</v>
      </c>
      <c r="AM123" s="379">
        <v>25750</v>
      </c>
      <c r="AN123" s="379">
        <v>26070</v>
      </c>
      <c r="AO123" s="379">
        <v>26460</v>
      </c>
      <c r="AP123" s="379">
        <v>26920</v>
      </c>
      <c r="AQ123" s="379">
        <v>26940</v>
      </c>
      <c r="AR123" s="379">
        <v>28190</v>
      </c>
      <c r="AS123" s="379">
        <v>28980</v>
      </c>
      <c r="AT123" s="379">
        <v>30380</v>
      </c>
      <c r="AU123" s="379">
        <v>30780</v>
      </c>
      <c r="AV123" s="379">
        <v>29950</v>
      </c>
      <c r="AW123" s="379">
        <v>29930</v>
      </c>
      <c r="AX123" s="379">
        <v>29510</v>
      </c>
      <c r="AY123" s="379">
        <v>29600</v>
      </c>
      <c r="AZ123" s="379">
        <v>29110</v>
      </c>
      <c r="BA123" s="379">
        <v>28710</v>
      </c>
      <c r="BB123" s="379">
        <v>28560</v>
      </c>
      <c r="BC123" s="379">
        <v>28050</v>
      </c>
      <c r="BD123" s="379">
        <v>28910</v>
      </c>
      <c r="BE123" s="379">
        <v>28300</v>
      </c>
      <c r="BF123" s="379">
        <v>27520</v>
      </c>
    </row>
    <row r="124" spans="1:58" x14ac:dyDescent="0.2">
      <c r="A124" s="380" t="s">
        <v>65</v>
      </c>
      <c r="B124" s="238"/>
      <c r="C124" s="379">
        <v>12920</v>
      </c>
      <c r="D124" s="379">
        <v>15630</v>
      </c>
      <c r="E124" s="379">
        <v>15840</v>
      </c>
      <c r="F124" s="379">
        <v>15790</v>
      </c>
      <c r="G124" s="379">
        <v>16610</v>
      </c>
      <c r="H124" s="379">
        <v>16820</v>
      </c>
      <c r="I124" s="379">
        <v>17330</v>
      </c>
      <c r="J124" s="379">
        <v>17900</v>
      </c>
      <c r="K124" s="379">
        <v>18890</v>
      </c>
      <c r="L124" s="379">
        <v>19680</v>
      </c>
      <c r="M124" s="379">
        <v>20630</v>
      </c>
      <c r="N124" s="379">
        <v>21340</v>
      </c>
      <c r="O124" s="379">
        <v>22060</v>
      </c>
      <c r="P124" s="379">
        <v>23320</v>
      </c>
      <c r="Q124" s="379">
        <v>23900</v>
      </c>
      <c r="R124" s="379">
        <v>25300</v>
      </c>
      <c r="S124" s="379">
        <v>25970</v>
      </c>
      <c r="T124" s="379">
        <v>26330</v>
      </c>
      <c r="U124" s="379">
        <v>25800</v>
      </c>
      <c r="V124" s="379">
        <v>25160</v>
      </c>
      <c r="W124" s="379">
        <v>25070</v>
      </c>
      <c r="X124" s="379">
        <v>25270</v>
      </c>
      <c r="Y124" s="379">
        <v>25590</v>
      </c>
      <c r="Z124" s="379">
        <v>26090</v>
      </c>
      <c r="AA124" s="379">
        <v>25960</v>
      </c>
      <c r="AB124" s="379">
        <v>26840</v>
      </c>
      <c r="AC124" s="379">
        <v>26440</v>
      </c>
      <c r="AD124" s="379">
        <v>25350</v>
      </c>
      <c r="AE124" s="379">
        <v>24430</v>
      </c>
      <c r="AF124" s="379">
        <v>23490</v>
      </c>
      <c r="AG124" s="379">
        <v>22460</v>
      </c>
      <c r="AH124" s="379">
        <v>22490</v>
      </c>
      <c r="AI124" s="379">
        <v>22300</v>
      </c>
      <c r="AJ124" s="379">
        <v>23170</v>
      </c>
      <c r="AK124" s="379">
        <v>23500</v>
      </c>
      <c r="AL124" s="379">
        <v>23940</v>
      </c>
      <c r="AM124" s="379">
        <v>24650</v>
      </c>
      <c r="AN124" s="379">
        <v>25450</v>
      </c>
      <c r="AO124" s="379">
        <v>25780</v>
      </c>
      <c r="AP124" s="379">
        <v>26150</v>
      </c>
      <c r="AQ124" s="379">
        <v>26610</v>
      </c>
      <c r="AR124" s="379">
        <v>26630</v>
      </c>
      <c r="AS124" s="379">
        <v>27870</v>
      </c>
      <c r="AT124" s="379">
        <v>28650</v>
      </c>
      <c r="AU124" s="379">
        <v>30040</v>
      </c>
      <c r="AV124" s="379">
        <v>30430</v>
      </c>
      <c r="AW124" s="379">
        <v>29620</v>
      </c>
      <c r="AX124" s="379">
        <v>29590</v>
      </c>
      <c r="AY124" s="379">
        <v>29180</v>
      </c>
      <c r="AZ124" s="379">
        <v>29270</v>
      </c>
      <c r="BA124" s="379">
        <v>28790</v>
      </c>
      <c r="BB124" s="379">
        <v>28390</v>
      </c>
      <c r="BC124" s="379">
        <v>28250</v>
      </c>
      <c r="BD124" s="379">
        <v>27740</v>
      </c>
      <c r="BE124" s="379">
        <v>28600</v>
      </c>
      <c r="BF124" s="379">
        <v>28000</v>
      </c>
    </row>
    <row r="125" spans="1:58" x14ac:dyDescent="0.2">
      <c r="A125" s="380" t="s">
        <v>66</v>
      </c>
      <c r="B125" s="238"/>
      <c r="C125" s="379">
        <v>11150</v>
      </c>
      <c r="D125" s="379">
        <v>12110</v>
      </c>
      <c r="E125" s="379">
        <v>14730</v>
      </c>
      <c r="F125" s="379">
        <v>15000</v>
      </c>
      <c r="G125" s="379">
        <v>15030</v>
      </c>
      <c r="H125" s="379">
        <v>15880</v>
      </c>
      <c r="I125" s="379">
        <v>16130</v>
      </c>
      <c r="J125" s="379">
        <v>16680</v>
      </c>
      <c r="K125" s="379">
        <v>17290</v>
      </c>
      <c r="L125" s="379">
        <v>18310</v>
      </c>
      <c r="M125" s="379">
        <v>19130</v>
      </c>
      <c r="N125" s="379">
        <v>20100</v>
      </c>
      <c r="O125" s="379">
        <v>20840</v>
      </c>
      <c r="P125" s="379">
        <v>21580</v>
      </c>
      <c r="Q125" s="379">
        <v>22850</v>
      </c>
      <c r="R125" s="379">
        <v>23460</v>
      </c>
      <c r="S125" s="379">
        <v>24870</v>
      </c>
      <c r="T125" s="379">
        <v>25560</v>
      </c>
      <c r="U125" s="379">
        <v>25940</v>
      </c>
      <c r="V125" s="379">
        <v>25450</v>
      </c>
      <c r="W125" s="379">
        <v>24840</v>
      </c>
      <c r="X125" s="379">
        <v>24770</v>
      </c>
      <c r="Y125" s="379">
        <v>24980</v>
      </c>
      <c r="Z125" s="379">
        <v>25310</v>
      </c>
      <c r="AA125" s="379">
        <v>25810</v>
      </c>
      <c r="AB125" s="379">
        <v>25690</v>
      </c>
      <c r="AC125" s="379">
        <v>26550</v>
      </c>
      <c r="AD125" s="379">
        <v>26160</v>
      </c>
      <c r="AE125" s="379">
        <v>25080</v>
      </c>
      <c r="AF125" s="379">
        <v>24170</v>
      </c>
      <c r="AG125" s="379">
        <v>23230</v>
      </c>
      <c r="AH125" s="379">
        <v>22210</v>
      </c>
      <c r="AI125" s="379">
        <v>22230</v>
      </c>
      <c r="AJ125" s="379">
        <v>22050</v>
      </c>
      <c r="AK125" s="379">
        <v>22910</v>
      </c>
      <c r="AL125" s="379">
        <v>23240</v>
      </c>
      <c r="AM125" s="379">
        <v>23680</v>
      </c>
      <c r="AN125" s="379">
        <v>24370</v>
      </c>
      <c r="AO125" s="379">
        <v>25170</v>
      </c>
      <c r="AP125" s="379">
        <v>25490</v>
      </c>
      <c r="AQ125" s="379">
        <v>25860</v>
      </c>
      <c r="AR125" s="379">
        <v>26310</v>
      </c>
      <c r="AS125" s="379">
        <v>26340</v>
      </c>
      <c r="AT125" s="379">
        <v>27560</v>
      </c>
      <c r="AU125" s="379">
        <v>28330</v>
      </c>
      <c r="AV125" s="379">
        <v>29700</v>
      </c>
      <c r="AW125" s="379">
        <v>30090</v>
      </c>
      <c r="AX125" s="379">
        <v>29290</v>
      </c>
      <c r="AY125" s="379">
        <v>29270</v>
      </c>
      <c r="AZ125" s="379">
        <v>28860</v>
      </c>
      <c r="BA125" s="379">
        <v>28950</v>
      </c>
      <c r="BB125" s="379">
        <v>28470</v>
      </c>
      <c r="BC125" s="379">
        <v>28090</v>
      </c>
      <c r="BD125" s="379">
        <v>27940</v>
      </c>
      <c r="BE125" s="379">
        <v>27450</v>
      </c>
      <c r="BF125" s="379">
        <v>28290</v>
      </c>
    </row>
    <row r="126" spans="1:58" x14ac:dyDescent="0.2">
      <c r="A126" s="380" t="s">
        <v>67</v>
      </c>
      <c r="B126" s="238"/>
      <c r="C126" s="379">
        <v>9500</v>
      </c>
      <c r="D126" s="379">
        <v>10370</v>
      </c>
      <c r="E126" s="379">
        <v>11330</v>
      </c>
      <c r="F126" s="379">
        <v>13840</v>
      </c>
      <c r="G126" s="379">
        <v>14180</v>
      </c>
      <c r="H126" s="379">
        <v>14250</v>
      </c>
      <c r="I126" s="379">
        <v>15110</v>
      </c>
      <c r="J126" s="379">
        <v>15400</v>
      </c>
      <c r="K126" s="379">
        <v>15990</v>
      </c>
      <c r="L126" s="379">
        <v>16630</v>
      </c>
      <c r="M126" s="379">
        <v>17650</v>
      </c>
      <c r="N126" s="379">
        <v>18470</v>
      </c>
      <c r="O126" s="379">
        <v>19450</v>
      </c>
      <c r="P126" s="379">
        <v>20200</v>
      </c>
      <c r="Q126" s="379">
        <v>20960</v>
      </c>
      <c r="R126" s="379">
        <v>22220</v>
      </c>
      <c r="S126" s="379">
        <v>22840</v>
      </c>
      <c r="T126" s="379">
        <v>24230</v>
      </c>
      <c r="U126" s="379">
        <v>24930</v>
      </c>
      <c r="V126" s="379">
        <v>25320</v>
      </c>
      <c r="W126" s="379">
        <v>24860</v>
      </c>
      <c r="X126" s="379">
        <v>24280</v>
      </c>
      <c r="Y126" s="379">
        <v>24220</v>
      </c>
      <c r="Z126" s="379">
        <v>24440</v>
      </c>
      <c r="AA126" s="379">
        <v>24760</v>
      </c>
      <c r="AB126" s="379">
        <v>25250</v>
      </c>
      <c r="AC126" s="379">
        <v>25130</v>
      </c>
      <c r="AD126" s="379">
        <v>25970</v>
      </c>
      <c r="AE126" s="379">
        <v>25580</v>
      </c>
      <c r="AF126" s="379">
        <v>24510</v>
      </c>
      <c r="AG126" s="379">
        <v>23610</v>
      </c>
      <c r="AH126" s="379">
        <v>22680</v>
      </c>
      <c r="AI126" s="379">
        <v>21690</v>
      </c>
      <c r="AJ126" s="379">
        <v>21720</v>
      </c>
      <c r="AK126" s="379">
        <v>21540</v>
      </c>
      <c r="AL126" s="379">
        <v>22380</v>
      </c>
      <c r="AM126" s="379">
        <v>22700</v>
      </c>
      <c r="AN126" s="379">
        <v>23130</v>
      </c>
      <c r="AO126" s="379">
        <v>23810</v>
      </c>
      <c r="AP126" s="379">
        <v>24590</v>
      </c>
      <c r="AQ126" s="379">
        <v>24900</v>
      </c>
      <c r="AR126" s="379">
        <v>25270</v>
      </c>
      <c r="AS126" s="379">
        <v>25710</v>
      </c>
      <c r="AT126" s="379">
        <v>25730</v>
      </c>
      <c r="AU126" s="379">
        <v>26920</v>
      </c>
      <c r="AV126" s="379">
        <v>27680</v>
      </c>
      <c r="AW126" s="379">
        <v>29010</v>
      </c>
      <c r="AX126" s="379">
        <v>29390</v>
      </c>
      <c r="AY126" s="379">
        <v>28610</v>
      </c>
      <c r="AZ126" s="379">
        <v>28590</v>
      </c>
      <c r="BA126" s="379">
        <v>28200</v>
      </c>
      <c r="BB126" s="379">
        <v>28280</v>
      </c>
      <c r="BC126" s="379">
        <v>27820</v>
      </c>
      <c r="BD126" s="379">
        <v>27450</v>
      </c>
      <c r="BE126" s="379">
        <v>27310</v>
      </c>
      <c r="BF126" s="379">
        <v>26830</v>
      </c>
    </row>
    <row r="127" spans="1:58" x14ac:dyDescent="0.2">
      <c r="A127" s="380" t="s">
        <v>68</v>
      </c>
      <c r="B127" s="238"/>
      <c r="C127" s="379">
        <v>7540</v>
      </c>
      <c r="D127" s="379">
        <v>8750</v>
      </c>
      <c r="E127" s="379">
        <v>9620</v>
      </c>
      <c r="F127" s="379">
        <v>10570</v>
      </c>
      <c r="G127" s="379">
        <v>13000</v>
      </c>
      <c r="H127" s="379">
        <v>13380</v>
      </c>
      <c r="I127" s="379">
        <v>13520</v>
      </c>
      <c r="J127" s="379">
        <v>14390</v>
      </c>
      <c r="K127" s="379">
        <v>14730</v>
      </c>
      <c r="L127" s="379">
        <v>15340</v>
      </c>
      <c r="M127" s="379">
        <v>16000</v>
      </c>
      <c r="N127" s="379">
        <v>17030</v>
      </c>
      <c r="O127" s="379">
        <v>17860</v>
      </c>
      <c r="P127" s="379">
        <v>18840</v>
      </c>
      <c r="Q127" s="379">
        <v>19600</v>
      </c>
      <c r="R127" s="379">
        <v>20370</v>
      </c>
      <c r="S127" s="379">
        <v>21620</v>
      </c>
      <c r="T127" s="379">
        <v>22250</v>
      </c>
      <c r="U127" s="379">
        <v>23630</v>
      </c>
      <c r="V127" s="379">
        <v>24330</v>
      </c>
      <c r="W127" s="379">
        <v>24730</v>
      </c>
      <c r="X127" s="379">
        <v>24290</v>
      </c>
      <c r="Y127" s="379">
        <v>23740</v>
      </c>
      <c r="Z127" s="379">
        <v>23690</v>
      </c>
      <c r="AA127" s="379">
        <v>23900</v>
      </c>
      <c r="AB127" s="379">
        <v>24220</v>
      </c>
      <c r="AC127" s="379">
        <v>24690</v>
      </c>
      <c r="AD127" s="379">
        <v>24570</v>
      </c>
      <c r="AE127" s="379">
        <v>25370</v>
      </c>
      <c r="AF127" s="379">
        <v>24980</v>
      </c>
      <c r="AG127" s="379">
        <v>23920</v>
      </c>
      <c r="AH127" s="379">
        <v>23040</v>
      </c>
      <c r="AI127" s="379">
        <v>22140</v>
      </c>
      <c r="AJ127" s="379">
        <v>21180</v>
      </c>
      <c r="AK127" s="379">
        <v>21200</v>
      </c>
      <c r="AL127" s="379">
        <v>21030</v>
      </c>
      <c r="AM127" s="379">
        <v>21850</v>
      </c>
      <c r="AN127" s="379">
        <v>22160</v>
      </c>
      <c r="AO127" s="379">
        <v>22580</v>
      </c>
      <c r="AP127" s="379">
        <v>23250</v>
      </c>
      <c r="AQ127" s="379">
        <v>24000</v>
      </c>
      <c r="AR127" s="379">
        <v>24310</v>
      </c>
      <c r="AS127" s="379">
        <v>24670</v>
      </c>
      <c r="AT127" s="379">
        <v>25100</v>
      </c>
      <c r="AU127" s="379">
        <v>25130</v>
      </c>
      <c r="AV127" s="379">
        <v>26290</v>
      </c>
      <c r="AW127" s="379">
        <v>27020</v>
      </c>
      <c r="AX127" s="379">
        <v>28330</v>
      </c>
      <c r="AY127" s="379">
        <v>28700</v>
      </c>
      <c r="AZ127" s="379">
        <v>27940</v>
      </c>
      <c r="BA127" s="379">
        <v>27920</v>
      </c>
      <c r="BB127" s="379">
        <v>27540</v>
      </c>
      <c r="BC127" s="379">
        <v>27620</v>
      </c>
      <c r="BD127" s="379">
        <v>27170</v>
      </c>
      <c r="BE127" s="379">
        <v>26810</v>
      </c>
      <c r="BF127" s="379">
        <v>26680</v>
      </c>
    </row>
    <row r="128" spans="1:58" x14ac:dyDescent="0.2">
      <c r="A128" s="380" t="s">
        <v>69</v>
      </c>
      <c r="B128" s="238"/>
      <c r="C128" s="379">
        <v>7100</v>
      </c>
      <c r="D128" s="379">
        <v>6780</v>
      </c>
      <c r="E128" s="379">
        <v>7930</v>
      </c>
      <c r="F128" s="379">
        <v>8790</v>
      </c>
      <c r="G128" s="379">
        <v>9720</v>
      </c>
      <c r="H128" s="379">
        <v>12020</v>
      </c>
      <c r="I128" s="379">
        <v>12430</v>
      </c>
      <c r="J128" s="379">
        <v>12610</v>
      </c>
      <c r="K128" s="379">
        <v>13490</v>
      </c>
      <c r="L128" s="379">
        <v>13860</v>
      </c>
      <c r="M128" s="379">
        <v>14480</v>
      </c>
      <c r="N128" s="379">
        <v>15140</v>
      </c>
      <c r="O128" s="379">
        <v>16150</v>
      </c>
      <c r="P128" s="379">
        <v>16980</v>
      </c>
      <c r="Q128" s="379">
        <v>17940</v>
      </c>
      <c r="R128" s="379">
        <v>18690</v>
      </c>
      <c r="S128" s="379">
        <v>19450</v>
      </c>
      <c r="T128" s="379">
        <v>20670</v>
      </c>
      <c r="U128" s="379">
        <v>21290</v>
      </c>
      <c r="V128" s="379">
        <v>22630</v>
      </c>
      <c r="W128" s="379">
        <v>23310</v>
      </c>
      <c r="X128" s="379">
        <v>23710</v>
      </c>
      <c r="Y128" s="379">
        <v>23290</v>
      </c>
      <c r="Z128" s="379">
        <v>22770</v>
      </c>
      <c r="AA128" s="379">
        <v>22720</v>
      </c>
      <c r="AB128" s="379">
        <v>22930</v>
      </c>
      <c r="AC128" s="379">
        <v>23220</v>
      </c>
      <c r="AD128" s="379">
        <v>23670</v>
      </c>
      <c r="AE128" s="379">
        <v>23540</v>
      </c>
      <c r="AF128" s="379">
        <v>24290</v>
      </c>
      <c r="AG128" s="379">
        <v>23900</v>
      </c>
      <c r="AH128" s="379">
        <v>22880</v>
      </c>
      <c r="AI128" s="379">
        <v>22040</v>
      </c>
      <c r="AJ128" s="379">
        <v>21180</v>
      </c>
      <c r="AK128" s="379">
        <v>20270</v>
      </c>
      <c r="AL128" s="379">
        <v>20290</v>
      </c>
      <c r="AM128" s="379">
        <v>20130</v>
      </c>
      <c r="AN128" s="379">
        <v>20910</v>
      </c>
      <c r="AO128" s="379">
        <v>21210</v>
      </c>
      <c r="AP128" s="379">
        <v>21610</v>
      </c>
      <c r="AQ128" s="379">
        <v>22250</v>
      </c>
      <c r="AR128" s="379">
        <v>22970</v>
      </c>
      <c r="AS128" s="379">
        <v>23270</v>
      </c>
      <c r="AT128" s="379">
        <v>23610</v>
      </c>
      <c r="AU128" s="379">
        <v>24020</v>
      </c>
      <c r="AV128" s="379">
        <v>24050</v>
      </c>
      <c r="AW128" s="379">
        <v>25160</v>
      </c>
      <c r="AX128" s="379">
        <v>25860</v>
      </c>
      <c r="AY128" s="379">
        <v>27110</v>
      </c>
      <c r="AZ128" s="379">
        <v>27460</v>
      </c>
      <c r="BA128" s="379">
        <v>26740</v>
      </c>
      <c r="BB128" s="379">
        <v>26730</v>
      </c>
      <c r="BC128" s="379">
        <v>26360</v>
      </c>
      <c r="BD128" s="379">
        <v>26440</v>
      </c>
      <c r="BE128" s="379">
        <v>26020</v>
      </c>
      <c r="BF128" s="379">
        <v>25670</v>
      </c>
    </row>
    <row r="129" spans="1:58" x14ac:dyDescent="0.2">
      <c r="A129" s="380" t="s">
        <v>70</v>
      </c>
      <c r="B129" s="238"/>
      <c r="C129" s="379">
        <v>5700</v>
      </c>
      <c r="D129" s="379">
        <v>6250</v>
      </c>
      <c r="E129" s="379">
        <v>6010</v>
      </c>
      <c r="F129" s="379">
        <v>7070</v>
      </c>
      <c r="G129" s="379">
        <v>7880</v>
      </c>
      <c r="H129" s="379">
        <v>8750</v>
      </c>
      <c r="I129" s="379">
        <v>10850</v>
      </c>
      <c r="J129" s="379">
        <v>11250</v>
      </c>
      <c r="K129" s="379">
        <v>11460</v>
      </c>
      <c r="L129" s="379">
        <v>12280</v>
      </c>
      <c r="M129" s="379">
        <v>12640</v>
      </c>
      <c r="N129" s="379">
        <v>13230</v>
      </c>
      <c r="O129" s="379">
        <v>13860</v>
      </c>
      <c r="P129" s="379">
        <v>14800</v>
      </c>
      <c r="Q129" s="379">
        <v>15560</v>
      </c>
      <c r="R129" s="379">
        <v>16460</v>
      </c>
      <c r="S129" s="379">
        <v>17160</v>
      </c>
      <c r="T129" s="379">
        <v>17870</v>
      </c>
      <c r="U129" s="379">
        <v>18990</v>
      </c>
      <c r="V129" s="379">
        <v>19570</v>
      </c>
      <c r="W129" s="379">
        <v>20800</v>
      </c>
      <c r="X129" s="379">
        <v>21420</v>
      </c>
      <c r="Y129" s="379">
        <v>21790</v>
      </c>
      <c r="Z129" s="379">
        <v>21410</v>
      </c>
      <c r="AA129" s="379">
        <v>20920</v>
      </c>
      <c r="AB129" s="379">
        <v>20870</v>
      </c>
      <c r="AC129" s="379">
        <v>21050</v>
      </c>
      <c r="AD129" s="379">
        <v>21300</v>
      </c>
      <c r="AE129" s="379">
        <v>21700</v>
      </c>
      <c r="AF129" s="379">
        <v>21560</v>
      </c>
      <c r="AG129" s="379">
        <v>22230</v>
      </c>
      <c r="AH129" s="379">
        <v>21860</v>
      </c>
      <c r="AI129" s="379">
        <v>20930</v>
      </c>
      <c r="AJ129" s="379">
        <v>20160</v>
      </c>
      <c r="AK129" s="379">
        <v>19380</v>
      </c>
      <c r="AL129" s="379">
        <v>18550</v>
      </c>
      <c r="AM129" s="379">
        <v>18580</v>
      </c>
      <c r="AN129" s="379">
        <v>18430</v>
      </c>
      <c r="AO129" s="379">
        <v>19150</v>
      </c>
      <c r="AP129" s="379">
        <v>19420</v>
      </c>
      <c r="AQ129" s="379">
        <v>19790</v>
      </c>
      <c r="AR129" s="379">
        <v>20370</v>
      </c>
      <c r="AS129" s="379">
        <v>21030</v>
      </c>
      <c r="AT129" s="379">
        <v>21300</v>
      </c>
      <c r="AU129" s="379">
        <v>21620</v>
      </c>
      <c r="AV129" s="379">
        <v>21990</v>
      </c>
      <c r="AW129" s="379">
        <v>22020</v>
      </c>
      <c r="AX129" s="379">
        <v>23040</v>
      </c>
      <c r="AY129" s="379">
        <v>23680</v>
      </c>
      <c r="AZ129" s="379">
        <v>24820</v>
      </c>
      <c r="BA129" s="379">
        <v>25140</v>
      </c>
      <c r="BB129" s="379">
        <v>24480</v>
      </c>
      <c r="BC129" s="379">
        <v>24470</v>
      </c>
      <c r="BD129" s="379">
        <v>24140</v>
      </c>
      <c r="BE129" s="379">
        <v>24220</v>
      </c>
      <c r="BF129" s="379">
        <v>23830</v>
      </c>
    </row>
    <row r="130" spans="1:58" x14ac:dyDescent="0.2">
      <c r="A130" s="380" t="s">
        <v>71</v>
      </c>
      <c r="B130" s="238"/>
      <c r="C130" s="379">
        <v>4390</v>
      </c>
      <c r="D130" s="379">
        <v>5220</v>
      </c>
      <c r="E130" s="379">
        <v>5740</v>
      </c>
      <c r="F130" s="379">
        <v>5540</v>
      </c>
      <c r="G130" s="379">
        <v>6540</v>
      </c>
      <c r="H130" s="379">
        <v>7290</v>
      </c>
      <c r="I130" s="379">
        <v>8120</v>
      </c>
      <c r="J130" s="379">
        <v>10080</v>
      </c>
      <c r="K130" s="379">
        <v>10470</v>
      </c>
      <c r="L130" s="379">
        <v>10680</v>
      </c>
      <c r="M130" s="379">
        <v>11450</v>
      </c>
      <c r="N130" s="379">
        <v>11800</v>
      </c>
      <c r="O130" s="379">
        <v>12360</v>
      </c>
      <c r="P130" s="379">
        <v>12950</v>
      </c>
      <c r="Q130" s="379">
        <v>13830</v>
      </c>
      <c r="R130" s="379">
        <v>14550</v>
      </c>
      <c r="S130" s="379">
        <v>15390</v>
      </c>
      <c r="T130" s="379">
        <v>16050</v>
      </c>
      <c r="U130" s="379">
        <v>16700</v>
      </c>
      <c r="V130" s="379">
        <v>17750</v>
      </c>
      <c r="W130" s="379">
        <v>18290</v>
      </c>
      <c r="X130" s="379">
        <v>19420</v>
      </c>
      <c r="Y130" s="379">
        <v>20000</v>
      </c>
      <c r="Z130" s="379">
        <v>20330</v>
      </c>
      <c r="AA130" s="379">
        <v>19960</v>
      </c>
      <c r="AB130" s="379">
        <v>19500</v>
      </c>
      <c r="AC130" s="379">
        <v>19440</v>
      </c>
      <c r="AD130" s="379">
        <v>19590</v>
      </c>
      <c r="AE130" s="379">
        <v>19810</v>
      </c>
      <c r="AF130" s="379">
        <v>20160</v>
      </c>
      <c r="AG130" s="379">
        <v>20000</v>
      </c>
      <c r="AH130" s="379">
        <v>20610</v>
      </c>
      <c r="AI130" s="379">
        <v>20270</v>
      </c>
      <c r="AJ130" s="379">
        <v>19410</v>
      </c>
      <c r="AK130" s="379">
        <v>18700</v>
      </c>
      <c r="AL130" s="379">
        <v>17990</v>
      </c>
      <c r="AM130" s="379">
        <v>17220</v>
      </c>
      <c r="AN130" s="379">
        <v>17240</v>
      </c>
      <c r="AO130" s="379">
        <v>17110</v>
      </c>
      <c r="AP130" s="379">
        <v>17770</v>
      </c>
      <c r="AQ130" s="379">
        <v>18030</v>
      </c>
      <c r="AR130" s="379">
        <v>18370</v>
      </c>
      <c r="AS130" s="379">
        <v>18910</v>
      </c>
      <c r="AT130" s="379">
        <v>19520</v>
      </c>
      <c r="AU130" s="379">
        <v>19780</v>
      </c>
      <c r="AV130" s="379">
        <v>20070</v>
      </c>
      <c r="AW130" s="379">
        <v>20420</v>
      </c>
      <c r="AX130" s="379">
        <v>20450</v>
      </c>
      <c r="AY130" s="379">
        <v>21390</v>
      </c>
      <c r="AZ130" s="379">
        <v>21980</v>
      </c>
      <c r="BA130" s="379">
        <v>23040</v>
      </c>
      <c r="BB130" s="379">
        <v>23340</v>
      </c>
      <c r="BC130" s="379">
        <v>22730</v>
      </c>
      <c r="BD130" s="379">
        <v>22730</v>
      </c>
      <c r="BE130" s="379">
        <v>22420</v>
      </c>
      <c r="BF130" s="379">
        <v>22490</v>
      </c>
    </row>
    <row r="131" spans="1:58" x14ac:dyDescent="0.2">
      <c r="A131" s="380" t="s">
        <v>72</v>
      </c>
      <c r="B131" s="238"/>
      <c r="C131" s="379">
        <v>2970</v>
      </c>
      <c r="D131" s="379">
        <v>3580</v>
      </c>
      <c r="E131" s="379">
        <v>4280</v>
      </c>
      <c r="F131" s="379">
        <v>4750</v>
      </c>
      <c r="G131" s="379">
        <v>4600</v>
      </c>
      <c r="H131" s="379">
        <v>5450</v>
      </c>
      <c r="I131" s="379">
        <v>6100</v>
      </c>
      <c r="J131" s="379">
        <v>6820</v>
      </c>
      <c r="K131" s="379">
        <v>8480</v>
      </c>
      <c r="L131" s="379">
        <v>8840</v>
      </c>
      <c r="M131" s="379">
        <v>9030</v>
      </c>
      <c r="N131" s="379">
        <v>9700</v>
      </c>
      <c r="O131" s="379">
        <v>10000</v>
      </c>
      <c r="P131" s="379">
        <v>10480</v>
      </c>
      <c r="Q131" s="379">
        <v>10990</v>
      </c>
      <c r="R131" s="379">
        <v>11750</v>
      </c>
      <c r="S131" s="379">
        <v>12370</v>
      </c>
      <c r="T131" s="379">
        <v>13080</v>
      </c>
      <c r="U131" s="379">
        <v>13640</v>
      </c>
      <c r="V131" s="379">
        <v>14200</v>
      </c>
      <c r="W131" s="379">
        <v>15090</v>
      </c>
      <c r="X131" s="379">
        <v>15540</v>
      </c>
      <c r="Y131" s="379">
        <v>16500</v>
      </c>
      <c r="Z131" s="379">
        <v>16990</v>
      </c>
      <c r="AA131" s="379">
        <v>17260</v>
      </c>
      <c r="AB131" s="379">
        <v>16940</v>
      </c>
      <c r="AC131" s="379">
        <v>16540</v>
      </c>
      <c r="AD131" s="379">
        <v>16470</v>
      </c>
      <c r="AE131" s="379">
        <v>16580</v>
      </c>
      <c r="AF131" s="379">
        <v>16750</v>
      </c>
      <c r="AG131" s="379">
        <v>17030</v>
      </c>
      <c r="AH131" s="379">
        <v>16890</v>
      </c>
      <c r="AI131" s="379">
        <v>17400</v>
      </c>
      <c r="AJ131" s="379">
        <v>17120</v>
      </c>
      <c r="AK131" s="379">
        <v>16400</v>
      </c>
      <c r="AL131" s="379">
        <v>15800</v>
      </c>
      <c r="AM131" s="379">
        <v>15200</v>
      </c>
      <c r="AN131" s="379">
        <v>14550</v>
      </c>
      <c r="AO131" s="379">
        <v>14570</v>
      </c>
      <c r="AP131" s="379">
        <v>14460</v>
      </c>
      <c r="AQ131" s="379">
        <v>15020</v>
      </c>
      <c r="AR131" s="379">
        <v>15240</v>
      </c>
      <c r="AS131" s="379">
        <v>15530</v>
      </c>
      <c r="AT131" s="379">
        <v>15980</v>
      </c>
      <c r="AU131" s="379">
        <v>16500</v>
      </c>
      <c r="AV131" s="379">
        <v>16720</v>
      </c>
      <c r="AW131" s="379">
        <v>16970</v>
      </c>
      <c r="AX131" s="379">
        <v>17270</v>
      </c>
      <c r="AY131" s="379">
        <v>17290</v>
      </c>
      <c r="AZ131" s="379">
        <v>18080</v>
      </c>
      <c r="BA131" s="379">
        <v>18590</v>
      </c>
      <c r="BB131" s="379">
        <v>19480</v>
      </c>
      <c r="BC131" s="379">
        <v>19740</v>
      </c>
      <c r="BD131" s="379">
        <v>19230</v>
      </c>
      <c r="BE131" s="379">
        <v>19220</v>
      </c>
      <c r="BF131" s="379">
        <v>18960</v>
      </c>
    </row>
    <row r="132" spans="1:58" x14ac:dyDescent="0.2">
      <c r="A132" s="380" t="s">
        <v>73</v>
      </c>
      <c r="B132" s="238"/>
      <c r="C132" s="379">
        <v>2030</v>
      </c>
      <c r="D132" s="379">
        <v>2440</v>
      </c>
      <c r="E132" s="379">
        <v>2950</v>
      </c>
      <c r="F132" s="379">
        <v>3530</v>
      </c>
      <c r="G132" s="379">
        <v>3920</v>
      </c>
      <c r="H132" s="379">
        <v>3790</v>
      </c>
      <c r="I132" s="379">
        <v>4500</v>
      </c>
      <c r="J132" s="379">
        <v>5040</v>
      </c>
      <c r="K132" s="379">
        <v>5630</v>
      </c>
      <c r="L132" s="379">
        <v>7010</v>
      </c>
      <c r="M132" s="379">
        <v>7310</v>
      </c>
      <c r="N132" s="379">
        <v>7460</v>
      </c>
      <c r="O132" s="379">
        <v>8020</v>
      </c>
      <c r="P132" s="379">
        <v>8270</v>
      </c>
      <c r="Q132" s="379">
        <v>8660</v>
      </c>
      <c r="R132" s="379">
        <v>9080</v>
      </c>
      <c r="S132" s="379">
        <v>9700</v>
      </c>
      <c r="T132" s="379">
        <v>10210</v>
      </c>
      <c r="U132" s="379">
        <v>10790</v>
      </c>
      <c r="V132" s="379">
        <v>11250</v>
      </c>
      <c r="W132" s="379">
        <v>11700</v>
      </c>
      <c r="X132" s="379">
        <v>12420</v>
      </c>
      <c r="Y132" s="379">
        <v>12790</v>
      </c>
      <c r="Z132" s="379">
        <v>13570</v>
      </c>
      <c r="AA132" s="379">
        <v>13950</v>
      </c>
      <c r="AB132" s="379">
        <v>14160</v>
      </c>
      <c r="AC132" s="379">
        <v>13890</v>
      </c>
      <c r="AD132" s="379">
        <v>13550</v>
      </c>
      <c r="AE132" s="379">
        <v>13480</v>
      </c>
      <c r="AF132" s="379">
        <v>13550</v>
      </c>
      <c r="AG132" s="379">
        <v>13680</v>
      </c>
      <c r="AH132" s="379">
        <v>13890</v>
      </c>
      <c r="AI132" s="379">
        <v>13780</v>
      </c>
      <c r="AJ132" s="379">
        <v>14200</v>
      </c>
      <c r="AK132" s="379">
        <v>13970</v>
      </c>
      <c r="AL132" s="379">
        <v>13380</v>
      </c>
      <c r="AM132" s="379">
        <v>12900</v>
      </c>
      <c r="AN132" s="379">
        <v>12410</v>
      </c>
      <c r="AO132" s="379">
        <v>11880</v>
      </c>
      <c r="AP132" s="379">
        <v>11900</v>
      </c>
      <c r="AQ132" s="379">
        <v>11810</v>
      </c>
      <c r="AR132" s="379">
        <v>12270</v>
      </c>
      <c r="AS132" s="379">
        <v>12450</v>
      </c>
      <c r="AT132" s="379">
        <v>12680</v>
      </c>
      <c r="AU132" s="379">
        <v>13060</v>
      </c>
      <c r="AV132" s="379">
        <v>13480</v>
      </c>
      <c r="AW132" s="379">
        <v>13660</v>
      </c>
      <c r="AX132" s="379">
        <v>13860</v>
      </c>
      <c r="AY132" s="379">
        <v>14110</v>
      </c>
      <c r="AZ132" s="379">
        <v>14130</v>
      </c>
      <c r="BA132" s="379">
        <v>14780</v>
      </c>
      <c r="BB132" s="379">
        <v>15190</v>
      </c>
      <c r="BC132" s="379">
        <v>15920</v>
      </c>
      <c r="BD132" s="379">
        <v>16130</v>
      </c>
      <c r="BE132" s="379">
        <v>15710</v>
      </c>
      <c r="BF132" s="379">
        <v>15710</v>
      </c>
    </row>
    <row r="133" spans="1:58" x14ac:dyDescent="0.2">
      <c r="A133" s="380" t="s">
        <v>74</v>
      </c>
      <c r="B133" s="238"/>
      <c r="C133" s="379">
        <v>1700</v>
      </c>
      <c r="D133" s="379">
        <v>2020</v>
      </c>
      <c r="E133" s="379">
        <v>2400</v>
      </c>
      <c r="F133" s="379">
        <v>2870</v>
      </c>
      <c r="G133" s="379">
        <v>3410</v>
      </c>
      <c r="H133" s="379">
        <v>3760</v>
      </c>
      <c r="I133" s="379">
        <v>3620</v>
      </c>
      <c r="J133" s="379">
        <v>4270</v>
      </c>
      <c r="K133" s="379">
        <v>4770</v>
      </c>
      <c r="L133" s="379">
        <v>5310</v>
      </c>
      <c r="M133" s="379">
        <v>6590</v>
      </c>
      <c r="N133" s="379">
        <v>6850</v>
      </c>
      <c r="O133" s="379">
        <v>6970</v>
      </c>
      <c r="P133" s="379">
        <v>7470</v>
      </c>
      <c r="Q133" s="379">
        <v>7690</v>
      </c>
      <c r="R133" s="379">
        <v>8050</v>
      </c>
      <c r="S133" s="379">
        <v>8420</v>
      </c>
      <c r="T133" s="379">
        <v>8980</v>
      </c>
      <c r="U133" s="379">
        <v>9430</v>
      </c>
      <c r="V133" s="379">
        <v>9950</v>
      </c>
      <c r="W133" s="379">
        <v>10360</v>
      </c>
      <c r="X133" s="379">
        <v>10760</v>
      </c>
      <c r="Y133" s="379">
        <v>11410</v>
      </c>
      <c r="Z133" s="379">
        <v>11730</v>
      </c>
      <c r="AA133" s="379">
        <v>12420</v>
      </c>
      <c r="AB133" s="379">
        <v>12760</v>
      </c>
      <c r="AC133" s="379">
        <v>12930</v>
      </c>
      <c r="AD133" s="379">
        <v>12670</v>
      </c>
      <c r="AE133" s="379">
        <v>12340</v>
      </c>
      <c r="AF133" s="379">
        <v>12260</v>
      </c>
      <c r="AG133" s="379">
        <v>12310</v>
      </c>
      <c r="AH133" s="379">
        <v>12410</v>
      </c>
      <c r="AI133" s="379">
        <v>12610</v>
      </c>
      <c r="AJ133" s="379">
        <v>12510</v>
      </c>
      <c r="AK133" s="379">
        <v>12890</v>
      </c>
      <c r="AL133" s="379">
        <v>12680</v>
      </c>
      <c r="AM133" s="379">
        <v>12150</v>
      </c>
      <c r="AN133" s="379">
        <v>11710</v>
      </c>
      <c r="AO133" s="379">
        <v>11270</v>
      </c>
      <c r="AP133" s="379">
        <v>10790</v>
      </c>
      <c r="AQ133" s="379">
        <v>10810</v>
      </c>
      <c r="AR133" s="379">
        <v>10730</v>
      </c>
      <c r="AS133" s="379">
        <v>11150</v>
      </c>
      <c r="AT133" s="379">
        <v>11310</v>
      </c>
      <c r="AU133" s="379">
        <v>11530</v>
      </c>
      <c r="AV133" s="379">
        <v>11870</v>
      </c>
      <c r="AW133" s="379">
        <v>12260</v>
      </c>
      <c r="AX133" s="379">
        <v>12420</v>
      </c>
      <c r="AY133" s="379">
        <v>12600</v>
      </c>
      <c r="AZ133" s="379">
        <v>12830</v>
      </c>
      <c r="BA133" s="379">
        <v>12850</v>
      </c>
      <c r="BB133" s="379">
        <v>13440</v>
      </c>
      <c r="BC133" s="379">
        <v>13820</v>
      </c>
      <c r="BD133" s="379">
        <v>14480</v>
      </c>
      <c r="BE133" s="379">
        <v>14670</v>
      </c>
      <c r="BF133" s="379">
        <v>14290</v>
      </c>
    </row>
    <row r="134" spans="1:58" x14ac:dyDescent="0.2">
      <c r="A134" s="380" t="s">
        <v>75</v>
      </c>
      <c r="B134" s="238"/>
      <c r="C134" s="379">
        <v>1400</v>
      </c>
      <c r="D134" s="379">
        <v>1670</v>
      </c>
      <c r="E134" s="379">
        <v>1930</v>
      </c>
      <c r="F134" s="379">
        <v>2220</v>
      </c>
      <c r="G134" s="379">
        <v>2610</v>
      </c>
      <c r="H134" s="379">
        <v>3050</v>
      </c>
      <c r="I134" s="379">
        <v>3310</v>
      </c>
      <c r="J134" s="379">
        <v>3150</v>
      </c>
      <c r="K134" s="379">
        <v>3680</v>
      </c>
      <c r="L134" s="379">
        <v>4080</v>
      </c>
      <c r="M134" s="379">
        <v>4510</v>
      </c>
      <c r="N134" s="379">
        <v>5560</v>
      </c>
      <c r="O134" s="379">
        <v>5750</v>
      </c>
      <c r="P134" s="379">
        <v>5830</v>
      </c>
      <c r="Q134" s="379">
        <v>6230</v>
      </c>
      <c r="R134" s="379">
        <v>6400</v>
      </c>
      <c r="S134" s="379">
        <v>6670</v>
      </c>
      <c r="T134" s="379">
        <v>6970</v>
      </c>
      <c r="U134" s="379">
        <v>7430</v>
      </c>
      <c r="V134" s="379">
        <v>7800</v>
      </c>
      <c r="W134" s="379">
        <v>8240</v>
      </c>
      <c r="X134" s="379">
        <v>8590</v>
      </c>
      <c r="Y134" s="379">
        <v>8930</v>
      </c>
      <c r="Z134" s="379">
        <v>9490</v>
      </c>
      <c r="AA134" s="379">
        <v>9780</v>
      </c>
      <c r="AB134" s="379">
        <v>10400</v>
      </c>
      <c r="AC134" s="379">
        <v>10720</v>
      </c>
      <c r="AD134" s="379">
        <v>10920</v>
      </c>
      <c r="AE134" s="379">
        <v>10750</v>
      </c>
      <c r="AF134" s="379">
        <v>10540</v>
      </c>
      <c r="AG134" s="379">
        <v>10540</v>
      </c>
      <c r="AH134" s="379">
        <v>10670</v>
      </c>
      <c r="AI134" s="379">
        <v>10840</v>
      </c>
      <c r="AJ134" s="379">
        <v>11090</v>
      </c>
      <c r="AK134" s="379">
        <v>11070</v>
      </c>
      <c r="AL134" s="379">
        <v>11480</v>
      </c>
      <c r="AM134" s="379">
        <v>11350</v>
      </c>
      <c r="AN134" s="379">
        <v>10930</v>
      </c>
      <c r="AO134" s="379">
        <v>10580</v>
      </c>
      <c r="AP134" s="379">
        <v>10220</v>
      </c>
      <c r="AQ134" s="379">
        <v>9820</v>
      </c>
      <c r="AR134" s="379">
        <v>9870</v>
      </c>
      <c r="AS134" s="379">
        <v>9820</v>
      </c>
      <c r="AT134" s="379">
        <v>10230</v>
      </c>
      <c r="AU134" s="379">
        <v>10390</v>
      </c>
      <c r="AV134" s="379">
        <v>10610</v>
      </c>
      <c r="AW134" s="379">
        <v>10920</v>
      </c>
      <c r="AX134" s="379">
        <v>11280</v>
      </c>
      <c r="AY134" s="379">
        <v>11430</v>
      </c>
      <c r="AZ134" s="379">
        <v>11600</v>
      </c>
      <c r="BA134" s="379">
        <v>11810</v>
      </c>
      <c r="BB134" s="379">
        <v>11830</v>
      </c>
      <c r="BC134" s="379">
        <v>12370</v>
      </c>
      <c r="BD134" s="379">
        <v>12720</v>
      </c>
      <c r="BE134" s="379">
        <v>13330</v>
      </c>
      <c r="BF134" s="379">
        <v>13510</v>
      </c>
    </row>
    <row r="135" spans="1:58" x14ac:dyDescent="0.2">
      <c r="A135" s="380" t="s">
        <v>76</v>
      </c>
      <c r="B135" s="238"/>
      <c r="C135" s="379">
        <v>1150</v>
      </c>
      <c r="D135" s="379">
        <v>1390</v>
      </c>
      <c r="E135" s="379">
        <v>1650</v>
      </c>
      <c r="F135" s="379">
        <v>1880</v>
      </c>
      <c r="G135" s="379">
        <v>2160</v>
      </c>
      <c r="H135" s="379">
        <v>2510</v>
      </c>
      <c r="I135" s="379">
        <v>2940</v>
      </c>
      <c r="J135" s="379">
        <v>3180</v>
      </c>
      <c r="K135" s="379">
        <v>3020</v>
      </c>
      <c r="L135" s="379">
        <v>3520</v>
      </c>
      <c r="M135" s="379">
        <v>3890</v>
      </c>
      <c r="N135" s="379">
        <v>4300</v>
      </c>
      <c r="O135" s="379">
        <v>5290</v>
      </c>
      <c r="P135" s="379">
        <v>5460</v>
      </c>
      <c r="Q135" s="379">
        <v>5530</v>
      </c>
      <c r="R135" s="379">
        <v>5900</v>
      </c>
      <c r="S135" s="379">
        <v>6050</v>
      </c>
      <c r="T135" s="379">
        <v>6310</v>
      </c>
      <c r="U135" s="379">
        <v>6590</v>
      </c>
      <c r="V135" s="379">
        <v>7020</v>
      </c>
      <c r="W135" s="379">
        <v>7360</v>
      </c>
      <c r="X135" s="379">
        <v>7770</v>
      </c>
      <c r="Y135" s="379">
        <v>8090</v>
      </c>
      <c r="Z135" s="379">
        <v>8410</v>
      </c>
      <c r="AA135" s="379">
        <v>8930</v>
      </c>
      <c r="AB135" s="379">
        <v>9200</v>
      </c>
      <c r="AC135" s="379">
        <v>9780</v>
      </c>
      <c r="AD135" s="379">
        <v>10080</v>
      </c>
      <c r="AE135" s="379">
        <v>10260</v>
      </c>
      <c r="AF135" s="379">
        <v>10100</v>
      </c>
      <c r="AG135" s="379">
        <v>9890</v>
      </c>
      <c r="AH135" s="379">
        <v>9890</v>
      </c>
      <c r="AI135" s="379">
        <v>10010</v>
      </c>
      <c r="AJ135" s="379">
        <v>10160</v>
      </c>
      <c r="AK135" s="379">
        <v>10390</v>
      </c>
      <c r="AL135" s="379">
        <v>10380</v>
      </c>
      <c r="AM135" s="379">
        <v>10750</v>
      </c>
      <c r="AN135" s="379">
        <v>10630</v>
      </c>
      <c r="AO135" s="379">
        <v>10240</v>
      </c>
      <c r="AP135" s="379">
        <v>9910</v>
      </c>
      <c r="AQ135" s="379">
        <v>9570</v>
      </c>
      <c r="AR135" s="379">
        <v>9190</v>
      </c>
      <c r="AS135" s="379">
        <v>9240</v>
      </c>
      <c r="AT135" s="379">
        <v>9190</v>
      </c>
      <c r="AU135" s="379">
        <v>9570</v>
      </c>
      <c r="AV135" s="379">
        <v>9720</v>
      </c>
      <c r="AW135" s="379">
        <v>9910</v>
      </c>
      <c r="AX135" s="379">
        <v>10200</v>
      </c>
      <c r="AY135" s="379">
        <v>10540</v>
      </c>
      <c r="AZ135" s="379">
        <v>10680</v>
      </c>
      <c r="BA135" s="379">
        <v>10840</v>
      </c>
      <c r="BB135" s="379">
        <v>11030</v>
      </c>
      <c r="BC135" s="379">
        <v>11050</v>
      </c>
      <c r="BD135" s="379">
        <v>11560</v>
      </c>
      <c r="BE135" s="379">
        <v>11890</v>
      </c>
      <c r="BF135" s="379">
        <v>12460</v>
      </c>
    </row>
    <row r="136" spans="1:58" x14ac:dyDescent="0.2">
      <c r="A136" s="380" t="s">
        <v>77</v>
      </c>
      <c r="B136" s="238"/>
      <c r="C136" s="379">
        <v>980</v>
      </c>
      <c r="D136" s="379">
        <v>1150</v>
      </c>
      <c r="E136" s="379">
        <v>1380</v>
      </c>
      <c r="F136" s="379">
        <v>1620</v>
      </c>
      <c r="G136" s="379">
        <v>1840</v>
      </c>
      <c r="H136" s="379">
        <v>2100</v>
      </c>
      <c r="I136" s="379">
        <v>2430</v>
      </c>
      <c r="J136" s="379">
        <v>2820</v>
      </c>
      <c r="K136" s="379">
        <v>3050</v>
      </c>
      <c r="L136" s="379">
        <v>2890</v>
      </c>
      <c r="M136" s="379">
        <v>3360</v>
      </c>
      <c r="N136" s="379">
        <v>3710</v>
      </c>
      <c r="O136" s="379">
        <v>4080</v>
      </c>
      <c r="P136" s="379">
        <v>5020</v>
      </c>
      <c r="Q136" s="379">
        <v>5170</v>
      </c>
      <c r="R136" s="379">
        <v>5240</v>
      </c>
      <c r="S136" s="379">
        <v>5580</v>
      </c>
      <c r="T136" s="379">
        <v>5720</v>
      </c>
      <c r="U136" s="379">
        <v>5950</v>
      </c>
      <c r="V136" s="379">
        <v>6210</v>
      </c>
      <c r="W136" s="379">
        <v>6610</v>
      </c>
      <c r="X136" s="379">
        <v>6930</v>
      </c>
      <c r="Y136" s="379">
        <v>7310</v>
      </c>
      <c r="Z136" s="379">
        <v>7600</v>
      </c>
      <c r="AA136" s="379">
        <v>7900</v>
      </c>
      <c r="AB136" s="379">
        <v>8380</v>
      </c>
      <c r="AC136" s="379">
        <v>8630</v>
      </c>
      <c r="AD136" s="379">
        <v>9170</v>
      </c>
      <c r="AE136" s="379">
        <v>9440</v>
      </c>
      <c r="AF136" s="379">
        <v>9610</v>
      </c>
      <c r="AG136" s="379">
        <v>9450</v>
      </c>
      <c r="AH136" s="379">
        <v>9260</v>
      </c>
      <c r="AI136" s="379">
        <v>9260</v>
      </c>
      <c r="AJ136" s="379">
        <v>9360</v>
      </c>
      <c r="AK136" s="379">
        <v>9500</v>
      </c>
      <c r="AL136" s="379">
        <v>9720</v>
      </c>
      <c r="AM136" s="379">
        <v>9700</v>
      </c>
      <c r="AN136" s="379">
        <v>10050</v>
      </c>
      <c r="AO136" s="379">
        <v>9930</v>
      </c>
      <c r="AP136" s="379">
        <v>9560</v>
      </c>
      <c r="AQ136" s="379">
        <v>9250</v>
      </c>
      <c r="AR136" s="379">
        <v>8930</v>
      </c>
      <c r="AS136" s="379">
        <v>8580</v>
      </c>
      <c r="AT136" s="379">
        <v>8620</v>
      </c>
      <c r="AU136" s="379">
        <v>8570</v>
      </c>
      <c r="AV136" s="379">
        <v>8920</v>
      </c>
      <c r="AW136" s="379">
        <v>9060</v>
      </c>
      <c r="AX136" s="379">
        <v>9230</v>
      </c>
      <c r="AY136" s="379">
        <v>9510</v>
      </c>
      <c r="AZ136" s="379">
        <v>9820</v>
      </c>
      <c r="BA136" s="379">
        <v>9950</v>
      </c>
      <c r="BB136" s="379">
        <v>10100</v>
      </c>
      <c r="BC136" s="379">
        <v>10290</v>
      </c>
      <c r="BD136" s="379">
        <v>10300</v>
      </c>
      <c r="BE136" s="379">
        <v>10780</v>
      </c>
      <c r="BF136" s="379">
        <v>11080</v>
      </c>
    </row>
    <row r="137" spans="1:58" x14ac:dyDescent="0.2">
      <c r="A137" s="380" t="s">
        <v>78</v>
      </c>
      <c r="B137" s="238"/>
      <c r="C137" s="379">
        <v>850</v>
      </c>
      <c r="D137" s="379">
        <v>1000</v>
      </c>
      <c r="E137" s="379">
        <v>1150</v>
      </c>
      <c r="F137" s="379">
        <v>1370</v>
      </c>
      <c r="G137" s="379">
        <v>1590</v>
      </c>
      <c r="H137" s="379">
        <v>1790</v>
      </c>
      <c r="I137" s="379">
        <v>2030</v>
      </c>
      <c r="J137" s="379">
        <v>2340</v>
      </c>
      <c r="K137" s="379">
        <v>2710</v>
      </c>
      <c r="L137" s="379">
        <v>2920</v>
      </c>
      <c r="M137" s="379">
        <v>2760</v>
      </c>
      <c r="N137" s="379">
        <v>3200</v>
      </c>
      <c r="O137" s="379">
        <v>3520</v>
      </c>
      <c r="P137" s="379">
        <v>3870</v>
      </c>
      <c r="Q137" s="379">
        <v>4750</v>
      </c>
      <c r="R137" s="379">
        <v>4890</v>
      </c>
      <c r="S137" s="379">
        <v>4940</v>
      </c>
      <c r="T137" s="379">
        <v>5260</v>
      </c>
      <c r="U137" s="379">
        <v>5380</v>
      </c>
      <c r="V137" s="379">
        <v>5600</v>
      </c>
      <c r="W137" s="379">
        <v>5840</v>
      </c>
      <c r="X137" s="379">
        <v>6200</v>
      </c>
      <c r="Y137" s="379">
        <v>6500</v>
      </c>
      <c r="Z137" s="379">
        <v>6850</v>
      </c>
      <c r="AA137" s="379">
        <v>7120</v>
      </c>
      <c r="AB137" s="379">
        <v>7400</v>
      </c>
      <c r="AC137" s="379">
        <v>7840</v>
      </c>
      <c r="AD137" s="379">
        <v>8070</v>
      </c>
      <c r="AE137" s="379">
        <v>8570</v>
      </c>
      <c r="AF137" s="379">
        <v>8820</v>
      </c>
      <c r="AG137" s="379">
        <v>8970</v>
      </c>
      <c r="AH137" s="379">
        <v>8830</v>
      </c>
      <c r="AI137" s="379">
        <v>8640</v>
      </c>
      <c r="AJ137" s="379">
        <v>8630</v>
      </c>
      <c r="AK137" s="379">
        <v>8730</v>
      </c>
      <c r="AL137" s="379">
        <v>8860</v>
      </c>
      <c r="AM137" s="379">
        <v>9050</v>
      </c>
      <c r="AN137" s="379">
        <v>9030</v>
      </c>
      <c r="AO137" s="379">
        <v>9360</v>
      </c>
      <c r="AP137" s="379">
        <v>9250</v>
      </c>
      <c r="AQ137" s="379">
        <v>8900</v>
      </c>
      <c r="AR137" s="379">
        <v>8610</v>
      </c>
      <c r="AS137" s="379">
        <v>8310</v>
      </c>
      <c r="AT137" s="379">
        <v>7980</v>
      </c>
      <c r="AU137" s="379">
        <v>8020</v>
      </c>
      <c r="AV137" s="379">
        <v>7980</v>
      </c>
      <c r="AW137" s="379">
        <v>8290</v>
      </c>
      <c r="AX137" s="379">
        <v>8410</v>
      </c>
      <c r="AY137" s="379">
        <v>8580</v>
      </c>
      <c r="AZ137" s="379">
        <v>8840</v>
      </c>
      <c r="BA137" s="379">
        <v>9130</v>
      </c>
      <c r="BB137" s="379">
        <v>9250</v>
      </c>
      <c r="BC137" s="379">
        <v>9390</v>
      </c>
      <c r="BD137" s="379">
        <v>9560</v>
      </c>
      <c r="BE137" s="379">
        <v>9580</v>
      </c>
      <c r="BF137" s="379">
        <v>10020</v>
      </c>
    </row>
    <row r="138" spans="1:58" x14ac:dyDescent="0.2">
      <c r="A138" s="380" t="s">
        <v>79</v>
      </c>
      <c r="B138" s="238"/>
      <c r="C138" s="379">
        <v>720</v>
      </c>
      <c r="D138" s="379">
        <v>870</v>
      </c>
      <c r="E138" s="379">
        <v>1000</v>
      </c>
      <c r="F138" s="379">
        <v>1140</v>
      </c>
      <c r="G138" s="379">
        <v>1340</v>
      </c>
      <c r="H138" s="379">
        <v>1550</v>
      </c>
      <c r="I138" s="379">
        <v>1740</v>
      </c>
      <c r="J138" s="379">
        <v>1960</v>
      </c>
      <c r="K138" s="379">
        <v>2240</v>
      </c>
      <c r="L138" s="379">
        <v>2590</v>
      </c>
      <c r="M138" s="379">
        <v>2780</v>
      </c>
      <c r="N138" s="379">
        <v>2620</v>
      </c>
      <c r="O138" s="379">
        <v>3030</v>
      </c>
      <c r="P138" s="379">
        <v>3330</v>
      </c>
      <c r="Q138" s="379">
        <v>3660</v>
      </c>
      <c r="R138" s="379">
        <v>4480</v>
      </c>
      <c r="S138" s="379">
        <v>4600</v>
      </c>
      <c r="T138" s="379">
        <v>4650</v>
      </c>
      <c r="U138" s="379">
        <v>4940</v>
      </c>
      <c r="V138" s="379">
        <v>5050</v>
      </c>
      <c r="W138" s="379">
        <v>5250</v>
      </c>
      <c r="X138" s="379">
        <v>5460</v>
      </c>
      <c r="Y138" s="379">
        <v>5800</v>
      </c>
      <c r="Z138" s="379">
        <v>6080</v>
      </c>
      <c r="AA138" s="379">
        <v>6400</v>
      </c>
      <c r="AB138" s="379">
        <v>6650</v>
      </c>
      <c r="AC138" s="379">
        <v>6900</v>
      </c>
      <c r="AD138" s="379">
        <v>7310</v>
      </c>
      <c r="AE138" s="379">
        <v>7520</v>
      </c>
      <c r="AF138" s="379">
        <v>7980</v>
      </c>
      <c r="AG138" s="379">
        <v>8210</v>
      </c>
      <c r="AH138" s="379">
        <v>8350</v>
      </c>
      <c r="AI138" s="379">
        <v>8210</v>
      </c>
      <c r="AJ138" s="379">
        <v>8030</v>
      </c>
      <c r="AK138" s="379">
        <v>8020</v>
      </c>
      <c r="AL138" s="379">
        <v>8110</v>
      </c>
      <c r="AM138" s="379">
        <v>8230</v>
      </c>
      <c r="AN138" s="379">
        <v>8410</v>
      </c>
      <c r="AO138" s="379">
        <v>8390</v>
      </c>
      <c r="AP138" s="379">
        <v>8680</v>
      </c>
      <c r="AQ138" s="379">
        <v>8580</v>
      </c>
      <c r="AR138" s="379">
        <v>8260</v>
      </c>
      <c r="AS138" s="379">
        <v>7990</v>
      </c>
      <c r="AT138" s="379">
        <v>7710</v>
      </c>
      <c r="AU138" s="379">
        <v>7410</v>
      </c>
      <c r="AV138" s="379">
        <v>7440</v>
      </c>
      <c r="AW138" s="379">
        <v>7390</v>
      </c>
      <c r="AX138" s="379">
        <v>7680</v>
      </c>
      <c r="AY138" s="379">
        <v>7790</v>
      </c>
      <c r="AZ138" s="379">
        <v>7950</v>
      </c>
      <c r="BA138" s="379">
        <v>8190</v>
      </c>
      <c r="BB138" s="379">
        <v>8460</v>
      </c>
      <c r="BC138" s="379">
        <v>8570</v>
      </c>
      <c r="BD138" s="379">
        <v>8710</v>
      </c>
      <c r="BE138" s="379">
        <v>8860</v>
      </c>
      <c r="BF138" s="379">
        <v>8880</v>
      </c>
    </row>
    <row r="139" spans="1:58" x14ac:dyDescent="0.2">
      <c r="A139" s="380" t="s">
        <v>80</v>
      </c>
      <c r="B139" s="238"/>
      <c r="C139" s="379">
        <v>620</v>
      </c>
      <c r="D139" s="379">
        <v>730</v>
      </c>
      <c r="E139" s="379">
        <v>870</v>
      </c>
      <c r="F139" s="379">
        <v>990</v>
      </c>
      <c r="G139" s="379">
        <v>1120</v>
      </c>
      <c r="H139" s="379">
        <v>1300</v>
      </c>
      <c r="I139" s="379">
        <v>1490</v>
      </c>
      <c r="J139" s="379">
        <v>1670</v>
      </c>
      <c r="K139" s="379">
        <v>1870</v>
      </c>
      <c r="L139" s="379">
        <v>2130</v>
      </c>
      <c r="M139" s="379">
        <v>2460</v>
      </c>
      <c r="N139" s="379">
        <v>2630</v>
      </c>
      <c r="O139" s="379">
        <v>2470</v>
      </c>
      <c r="P139" s="379">
        <v>2860</v>
      </c>
      <c r="Q139" s="379">
        <v>3130</v>
      </c>
      <c r="R139" s="379">
        <v>3430</v>
      </c>
      <c r="S139" s="379">
        <v>4190</v>
      </c>
      <c r="T139" s="379">
        <v>4310</v>
      </c>
      <c r="U139" s="379">
        <v>4340</v>
      </c>
      <c r="V139" s="379">
        <v>4610</v>
      </c>
      <c r="W139" s="379">
        <v>4710</v>
      </c>
      <c r="X139" s="379">
        <v>4890</v>
      </c>
      <c r="Y139" s="379">
        <v>5090</v>
      </c>
      <c r="Z139" s="379">
        <v>5400</v>
      </c>
      <c r="AA139" s="379">
        <v>5650</v>
      </c>
      <c r="AB139" s="379">
        <v>5950</v>
      </c>
      <c r="AC139" s="379">
        <v>6180</v>
      </c>
      <c r="AD139" s="379">
        <v>6410</v>
      </c>
      <c r="AE139" s="379">
        <v>6790</v>
      </c>
      <c r="AF139" s="379">
        <v>6980</v>
      </c>
      <c r="AG139" s="379">
        <v>7400</v>
      </c>
      <c r="AH139" s="379">
        <v>7610</v>
      </c>
      <c r="AI139" s="379">
        <v>7740</v>
      </c>
      <c r="AJ139" s="379">
        <v>7600</v>
      </c>
      <c r="AK139" s="379">
        <v>7440</v>
      </c>
      <c r="AL139" s="379">
        <v>7430</v>
      </c>
      <c r="AM139" s="379">
        <v>7510</v>
      </c>
      <c r="AN139" s="379">
        <v>7620</v>
      </c>
      <c r="AO139" s="379">
        <v>7780</v>
      </c>
      <c r="AP139" s="379">
        <v>7760</v>
      </c>
      <c r="AQ139" s="379">
        <v>8030</v>
      </c>
      <c r="AR139" s="379">
        <v>7930</v>
      </c>
      <c r="AS139" s="379">
        <v>7630</v>
      </c>
      <c r="AT139" s="379">
        <v>7380</v>
      </c>
      <c r="AU139" s="379">
        <v>7130</v>
      </c>
      <c r="AV139" s="379">
        <v>6840</v>
      </c>
      <c r="AW139" s="379">
        <v>6860</v>
      </c>
      <c r="AX139" s="379">
        <v>6820</v>
      </c>
      <c r="AY139" s="379">
        <v>7090</v>
      </c>
      <c r="AZ139" s="379">
        <v>7200</v>
      </c>
      <c r="BA139" s="379">
        <v>7340</v>
      </c>
      <c r="BB139" s="379">
        <v>7560</v>
      </c>
      <c r="BC139" s="379">
        <v>7810</v>
      </c>
      <c r="BD139" s="379">
        <v>7920</v>
      </c>
      <c r="BE139" s="379">
        <v>8040</v>
      </c>
      <c r="BF139" s="379">
        <v>8190</v>
      </c>
    </row>
    <row r="140" spans="1:58" x14ac:dyDescent="0.2">
      <c r="A140" s="380" t="s">
        <v>81</v>
      </c>
      <c r="B140" s="238"/>
      <c r="C140" s="379">
        <v>510</v>
      </c>
      <c r="D140" s="379">
        <v>640</v>
      </c>
      <c r="E140" s="379">
        <v>740</v>
      </c>
      <c r="F140" s="379">
        <v>870</v>
      </c>
      <c r="G140" s="379">
        <v>980</v>
      </c>
      <c r="H140" s="379">
        <v>1090</v>
      </c>
      <c r="I140" s="379">
        <v>1260</v>
      </c>
      <c r="J140" s="379">
        <v>1430</v>
      </c>
      <c r="K140" s="379">
        <v>1590</v>
      </c>
      <c r="L140" s="379">
        <v>1770</v>
      </c>
      <c r="M140" s="379">
        <v>2020</v>
      </c>
      <c r="N140" s="379">
        <v>2320</v>
      </c>
      <c r="O140" s="379">
        <v>2470</v>
      </c>
      <c r="P140" s="379">
        <v>2320</v>
      </c>
      <c r="Q140" s="379">
        <v>2680</v>
      </c>
      <c r="R140" s="379">
        <v>2930</v>
      </c>
      <c r="S140" s="379">
        <v>3210</v>
      </c>
      <c r="T140" s="379">
        <v>3910</v>
      </c>
      <c r="U140" s="379">
        <v>4010</v>
      </c>
      <c r="V140" s="379">
        <v>4040</v>
      </c>
      <c r="W140" s="379">
        <v>4290</v>
      </c>
      <c r="X140" s="379">
        <v>4380</v>
      </c>
      <c r="Y140" s="379">
        <v>4540</v>
      </c>
      <c r="Z140" s="379">
        <v>4720</v>
      </c>
      <c r="AA140" s="379">
        <v>5010</v>
      </c>
      <c r="AB140" s="379">
        <v>5240</v>
      </c>
      <c r="AC140" s="379">
        <v>5510</v>
      </c>
      <c r="AD140" s="379">
        <v>5720</v>
      </c>
      <c r="AE140" s="379">
        <v>5930</v>
      </c>
      <c r="AF140" s="379">
        <v>6270</v>
      </c>
      <c r="AG140" s="379">
        <v>6450</v>
      </c>
      <c r="AH140" s="379">
        <v>6830</v>
      </c>
      <c r="AI140" s="379">
        <v>7030</v>
      </c>
      <c r="AJ140" s="379">
        <v>7140</v>
      </c>
      <c r="AK140" s="379">
        <v>7020</v>
      </c>
      <c r="AL140" s="379">
        <v>6860</v>
      </c>
      <c r="AM140" s="379">
        <v>6850</v>
      </c>
      <c r="AN140" s="379">
        <v>6920</v>
      </c>
      <c r="AO140" s="379">
        <v>7020</v>
      </c>
      <c r="AP140" s="379">
        <v>7170</v>
      </c>
      <c r="AQ140" s="379">
        <v>7150</v>
      </c>
      <c r="AR140" s="379">
        <v>7400</v>
      </c>
      <c r="AS140" s="379">
        <v>7310</v>
      </c>
      <c r="AT140" s="379">
        <v>7030</v>
      </c>
      <c r="AU140" s="379">
        <v>6800</v>
      </c>
      <c r="AV140" s="379">
        <v>6560</v>
      </c>
      <c r="AW140" s="379">
        <v>6290</v>
      </c>
      <c r="AX140" s="379">
        <v>6310</v>
      </c>
      <c r="AY140" s="379">
        <v>6270</v>
      </c>
      <c r="AZ140" s="379">
        <v>6520</v>
      </c>
      <c r="BA140" s="379">
        <v>6620</v>
      </c>
      <c r="BB140" s="379">
        <v>6750</v>
      </c>
      <c r="BC140" s="379">
        <v>6960</v>
      </c>
      <c r="BD140" s="379">
        <v>7190</v>
      </c>
      <c r="BE140" s="379">
        <v>7290</v>
      </c>
      <c r="BF140" s="379">
        <v>7410</v>
      </c>
    </row>
    <row r="141" spans="1:58" x14ac:dyDescent="0.2">
      <c r="A141" s="380" t="s">
        <v>82</v>
      </c>
      <c r="B141" s="238"/>
      <c r="C141" s="379">
        <v>420</v>
      </c>
      <c r="D141" s="379">
        <v>560</v>
      </c>
      <c r="E141" s="379">
        <v>670</v>
      </c>
      <c r="F141" s="379">
        <v>760</v>
      </c>
      <c r="G141" s="379">
        <v>870</v>
      </c>
      <c r="H141" s="379">
        <v>960</v>
      </c>
      <c r="I141" s="379">
        <v>1060</v>
      </c>
      <c r="J141" s="379">
        <v>1210</v>
      </c>
      <c r="K141" s="379">
        <v>1370</v>
      </c>
      <c r="L141" s="379">
        <v>1520</v>
      </c>
      <c r="M141" s="379">
        <v>1690</v>
      </c>
      <c r="N141" s="379">
        <v>1910</v>
      </c>
      <c r="O141" s="379">
        <v>2190</v>
      </c>
      <c r="P141" s="379">
        <v>2330</v>
      </c>
      <c r="Q141" s="379">
        <v>2180</v>
      </c>
      <c r="R141" s="379">
        <v>2510</v>
      </c>
      <c r="S141" s="379">
        <v>2740</v>
      </c>
      <c r="T141" s="379">
        <v>2990</v>
      </c>
      <c r="U141" s="379">
        <v>3640</v>
      </c>
      <c r="V141" s="379">
        <v>3730</v>
      </c>
      <c r="W141" s="379">
        <v>3750</v>
      </c>
      <c r="X141" s="379">
        <v>3980</v>
      </c>
      <c r="Y141" s="379">
        <v>4050</v>
      </c>
      <c r="Z141" s="379">
        <v>4200</v>
      </c>
      <c r="AA141" s="379">
        <v>4360</v>
      </c>
      <c r="AB141" s="379">
        <v>4620</v>
      </c>
      <c r="AC141" s="379">
        <v>4830</v>
      </c>
      <c r="AD141" s="379">
        <v>5080</v>
      </c>
      <c r="AE141" s="379">
        <v>5270</v>
      </c>
      <c r="AF141" s="379">
        <v>5460</v>
      </c>
      <c r="AG141" s="379">
        <v>5770</v>
      </c>
      <c r="AH141" s="379">
        <v>5930</v>
      </c>
      <c r="AI141" s="379">
        <v>6280</v>
      </c>
      <c r="AJ141" s="379">
        <v>6460</v>
      </c>
      <c r="AK141" s="379">
        <v>6560</v>
      </c>
      <c r="AL141" s="379">
        <v>6440</v>
      </c>
      <c r="AM141" s="379">
        <v>6300</v>
      </c>
      <c r="AN141" s="379">
        <v>6290</v>
      </c>
      <c r="AO141" s="379">
        <v>6350</v>
      </c>
      <c r="AP141" s="379">
        <v>6440</v>
      </c>
      <c r="AQ141" s="379">
        <v>6570</v>
      </c>
      <c r="AR141" s="379">
        <v>6550</v>
      </c>
      <c r="AS141" s="379">
        <v>6780</v>
      </c>
      <c r="AT141" s="379">
        <v>6700</v>
      </c>
      <c r="AU141" s="379">
        <v>6440</v>
      </c>
      <c r="AV141" s="379">
        <v>6230</v>
      </c>
      <c r="AW141" s="379">
        <v>6010</v>
      </c>
      <c r="AX141" s="379">
        <v>5760</v>
      </c>
      <c r="AY141" s="379">
        <v>5780</v>
      </c>
      <c r="AZ141" s="379">
        <v>5740</v>
      </c>
      <c r="BA141" s="379">
        <v>5970</v>
      </c>
      <c r="BB141" s="379">
        <v>6070</v>
      </c>
      <c r="BC141" s="379">
        <v>6190</v>
      </c>
      <c r="BD141" s="379">
        <v>6380</v>
      </c>
      <c r="BE141" s="379">
        <v>6590</v>
      </c>
      <c r="BF141" s="379">
        <v>6690</v>
      </c>
    </row>
    <row r="142" spans="1:58" x14ac:dyDescent="0.2">
      <c r="A142" s="380" t="s">
        <v>83</v>
      </c>
      <c r="B142" s="238"/>
      <c r="C142" s="379">
        <v>360</v>
      </c>
      <c r="D142" s="379">
        <v>460</v>
      </c>
      <c r="E142" s="379">
        <v>580</v>
      </c>
      <c r="F142" s="379">
        <v>680</v>
      </c>
      <c r="G142" s="379">
        <v>750</v>
      </c>
      <c r="H142" s="379">
        <v>850</v>
      </c>
      <c r="I142" s="379">
        <v>930</v>
      </c>
      <c r="J142" s="379">
        <v>1020</v>
      </c>
      <c r="K142" s="379">
        <v>1160</v>
      </c>
      <c r="L142" s="379">
        <v>1300</v>
      </c>
      <c r="M142" s="379">
        <v>1430</v>
      </c>
      <c r="N142" s="379">
        <v>1590</v>
      </c>
      <c r="O142" s="379">
        <v>1790</v>
      </c>
      <c r="P142" s="379">
        <v>2040</v>
      </c>
      <c r="Q142" s="379">
        <v>2170</v>
      </c>
      <c r="R142" s="379">
        <v>2030</v>
      </c>
      <c r="S142" s="379">
        <v>2330</v>
      </c>
      <c r="T142" s="379">
        <v>2540</v>
      </c>
      <c r="U142" s="379">
        <v>2770</v>
      </c>
      <c r="V142" s="379">
        <v>3360</v>
      </c>
      <c r="W142" s="379">
        <v>3440</v>
      </c>
      <c r="X142" s="379">
        <v>3460</v>
      </c>
      <c r="Y142" s="379">
        <v>3660</v>
      </c>
      <c r="Z142" s="379">
        <v>3730</v>
      </c>
      <c r="AA142" s="379">
        <v>3860</v>
      </c>
      <c r="AB142" s="379">
        <v>4010</v>
      </c>
      <c r="AC142" s="379">
        <v>4240</v>
      </c>
      <c r="AD142" s="379">
        <v>4430</v>
      </c>
      <c r="AE142" s="379">
        <v>4650</v>
      </c>
      <c r="AF142" s="379">
        <v>4820</v>
      </c>
      <c r="AG142" s="379">
        <v>5000</v>
      </c>
      <c r="AH142" s="379">
        <v>5290</v>
      </c>
      <c r="AI142" s="379">
        <v>5430</v>
      </c>
      <c r="AJ142" s="379">
        <v>5750</v>
      </c>
      <c r="AK142" s="379">
        <v>5910</v>
      </c>
      <c r="AL142" s="379">
        <v>6000</v>
      </c>
      <c r="AM142" s="379">
        <v>5890</v>
      </c>
      <c r="AN142" s="379">
        <v>5760</v>
      </c>
      <c r="AO142" s="379">
        <v>5740</v>
      </c>
      <c r="AP142" s="379">
        <v>5800</v>
      </c>
      <c r="AQ142" s="379">
        <v>5880</v>
      </c>
      <c r="AR142" s="379">
        <v>6000</v>
      </c>
      <c r="AS142" s="379">
        <v>5980</v>
      </c>
      <c r="AT142" s="379">
        <v>6190</v>
      </c>
      <c r="AU142" s="379">
        <v>6110</v>
      </c>
      <c r="AV142" s="379">
        <v>5880</v>
      </c>
      <c r="AW142" s="379">
        <v>5680</v>
      </c>
      <c r="AX142" s="379">
        <v>5470</v>
      </c>
      <c r="AY142" s="379">
        <v>5250</v>
      </c>
      <c r="AZ142" s="379">
        <v>5270</v>
      </c>
      <c r="BA142" s="379">
        <v>5240</v>
      </c>
      <c r="BB142" s="379">
        <v>5450</v>
      </c>
      <c r="BC142" s="379">
        <v>5540</v>
      </c>
      <c r="BD142" s="379">
        <v>5650</v>
      </c>
      <c r="BE142" s="379">
        <v>5820</v>
      </c>
      <c r="BF142" s="379">
        <v>6020</v>
      </c>
    </row>
    <row r="143" spans="1:58" x14ac:dyDescent="0.2">
      <c r="A143" s="380" t="s">
        <v>84</v>
      </c>
      <c r="B143" s="238"/>
      <c r="C143" s="379">
        <v>290</v>
      </c>
      <c r="D143" s="379">
        <v>390</v>
      </c>
      <c r="E143" s="379">
        <v>480</v>
      </c>
      <c r="F143" s="379">
        <v>590</v>
      </c>
      <c r="G143" s="379">
        <v>680</v>
      </c>
      <c r="H143" s="379">
        <v>740</v>
      </c>
      <c r="I143" s="379">
        <v>820</v>
      </c>
      <c r="J143" s="379">
        <v>890</v>
      </c>
      <c r="K143" s="379">
        <v>970</v>
      </c>
      <c r="L143" s="379">
        <v>1090</v>
      </c>
      <c r="M143" s="379">
        <v>1220</v>
      </c>
      <c r="N143" s="379">
        <v>1340</v>
      </c>
      <c r="O143" s="379">
        <v>1480</v>
      </c>
      <c r="P143" s="379">
        <v>1670</v>
      </c>
      <c r="Q143" s="379">
        <v>1890</v>
      </c>
      <c r="R143" s="379">
        <v>2000</v>
      </c>
      <c r="S143" s="379">
        <v>1870</v>
      </c>
      <c r="T143" s="379">
        <v>2140</v>
      </c>
      <c r="U143" s="379">
        <v>2330</v>
      </c>
      <c r="V143" s="379">
        <v>2540</v>
      </c>
      <c r="W143" s="379">
        <v>3080</v>
      </c>
      <c r="X143" s="379">
        <v>3150</v>
      </c>
      <c r="Y143" s="379">
        <v>3160</v>
      </c>
      <c r="Z143" s="379">
        <v>3350</v>
      </c>
      <c r="AA143" s="379">
        <v>3410</v>
      </c>
      <c r="AB143" s="379">
        <v>3530</v>
      </c>
      <c r="AC143" s="379">
        <v>3660</v>
      </c>
      <c r="AD143" s="379">
        <v>3870</v>
      </c>
      <c r="AE143" s="379">
        <v>4040</v>
      </c>
      <c r="AF143" s="379">
        <v>4240</v>
      </c>
      <c r="AG143" s="379">
        <v>4390</v>
      </c>
      <c r="AH143" s="379">
        <v>4550</v>
      </c>
      <c r="AI143" s="379">
        <v>4810</v>
      </c>
      <c r="AJ143" s="379">
        <v>4930</v>
      </c>
      <c r="AK143" s="379">
        <v>5220</v>
      </c>
      <c r="AL143" s="379">
        <v>5370</v>
      </c>
      <c r="AM143" s="379">
        <v>5450</v>
      </c>
      <c r="AN143" s="379">
        <v>5350</v>
      </c>
      <c r="AO143" s="379">
        <v>5230</v>
      </c>
      <c r="AP143" s="379">
        <v>5210</v>
      </c>
      <c r="AQ143" s="379">
        <v>5260</v>
      </c>
      <c r="AR143" s="379">
        <v>5340</v>
      </c>
      <c r="AS143" s="379">
        <v>5450</v>
      </c>
      <c r="AT143" s="379">
        <v>5430</v>
      </c>
      <c r="AU143" s="379">
        <v>5620</v>
      </c>
      <c r="AV143" s="379">
        <v>5550</v>
      </c>
      <c r="AW143" s="379">
        <v>5330</v>
      </c>
      <c r="AX143" s="379">
        <v>5150</v>
      </c>
      <c r="AY143" s="379">
        <v>4960</v>
      </c>
      <c r="AZ143" s="379">
        <v>4760</v>
      </c>
      <c r="BA143" s="379">
        <v>4780</v>
      </c>
      <c r="BB143" s="379">
        <v>4750</v>
      </c>
      <c r="BC143" s="379">
        <v>4950</v>
      </c>
      <c r="BD143" s="379">
        <v>5030</v>
      </c>
      <c r="BE143" s="379">
        <v>5130</v>
      </c>
      <c r="BF143" s="379">
        <v>5290</v>
      </c>
    </row>
    <row r="144" spans="1:58" x14ac:dyDescent="0.2">
      <c r="A144" s="380" t="s">
        <v>923</v>
      </c>
      <c r="B144" s="238"/>
      <c r="C144" s="379">
        <v>1020</v>
      </c>
      <c r="D144" s="379">
        <v>1490</v>
      </c>
      <c r="E144" s="379">
        <v>1960</v>
      </c>
      <c r="F144" s="379">
        <v>2420</v>
      </c>
      <c r="G144" s="379">
        <v>2900</v>
      </c>
      <c r="H144" s="379">
        <v>3370</v>
      </c>
      <c r="I144" s="379">
        <v>3790</v>
      </c>
      <c r="J144" s="379">
        <v>4210</v>
      </c>
      <c r="K144" s="379">
        <v>4620</v>
      </c>
      <c r="L144" s="379">
        <v>5010</v>
      </c>
      <c r="M144" s="379">
        <v>5440</v>
      </c>
      <c r="N144" s="379">
        <v>5920</v>
      </c>
      <c r="O144" s="379">
        <v>6420</v>
      </c>
      <c r="P144" s="379">
        <v>6970</v>
      </c>
      <c r="Q144" s="379">
        <v>7600</v>
      </c>
      <c r="R144" s="379">
        <v>8340</v>
      </c>
      <c r="S144" s="379">
        <v>9080</v>
      </c>
      <c r="T144" s="379">
        <v>9580</v>
      </c>
      <c r="U144" s="379">
        <v>10250</v>
      </c>
      <c r="V144" s="379">
        <v>10980</v>
      </c>
      <c r="W144" s="379">
        <v>11780</v>
      </c>
      <c r="X144" s="379">
        <v>12960</v>
      </c>
      <c r="Y144" s="379">
        <v>14040</v>
      </c>
      <c r="Z144" s="379">
        <v>14980</v>
      </c>
      <c r="AA144" s="379">
        <v>15930</v>
      </c>
      <c r="AB144" s="379">
        <v>16790</v>
      </c>
      <c r="AC144" s="379">
        <v>17620</v>
      </c>
      <c r="AD144" s="379">
        <v>18430</v>
      </c>
      <c r="AE144" s="379">
        <v>19300</v>
      </c>
      <c r="AF144" s="379">
        <v>20180</v>
      </c>
      <c r="AG144" s="379">
        <v>21100</v>
      </c>
      <c r="AH144" s="379">
        <v>22020</v>
      </c>
      <c r="AI144" s="379">
        <v>22930</v>
      </c>
      <c r="AJ144" s="379">
        <v>23940</v>
      </c>
      <c r="AK144" s="379">
        <v>24900</v>
      </c>
      <c r="AL144" s="379">
        <v>25990</v>
      </c>
      <c r="AM144" s="379">
        <v>27040</v>
      </c>
      <c r="AN144" s="379">
        <v>28010</v>
      </c>
      <c r="AO144" s="379">
        <v>28750</v>
      </c>
      <c r="AP144" s="379">
        <v>29250</v>
      </c>
      <c r="AQ144" s="379">
        <v>29640</v>
      </c>
      <c r="AR144" s="379">
        <v>30000</v>
      </c>
      <c r="AS144" s="379">
        <v>30350</v>
      </c>
      <c r="AT144" s="379">
        <v>30730</v>
      </c>
      <c r="AU144" s="379">
        <v>31030</v>
      </c>
      <c r="AV144" s="379">
        <v>31440</v>
      </c>
      <c r="AW144" s="379">
        <v>31690</v>
      </c>
      <c r="AX144" s="379">
        <v>31700</v>
      </c>
      <c r="AY144" s="379">
        <v>31550</v>
      </c>
      <c r="AZ144" s="379">
        <v>31260</v>
      </c>
      <c r="BA144" s="379">
        <v>30820</v>
      </c>
      <c r="BB144" s="379">
        <v>30450</v>
      </c>
      <c r="BC144" s="379">
        <v>30100</v>
      </c>
      <c r="BD144" s="379">
        <v>29980</v>
      </c>
      <c r="BE144" s="379">
        <v>29970</v>
      </c>
      <c r="BF144" s="379">
        <v>30070</v>
      </c>
    </row>
    <row r="145" spans="1:58" x14ac:dyDescent="0.2">
      <c r="A145" s="376" t="s">
        <v>795</v>
      </c>
      <c r="B145" s="238"/>
      <c r="C145" s="375">
        <f>SUM(C$79:C$144)/1000000</f>
        <v>1.0420199999999999</v>
      </c>
      <c r="D145" s="375">
        <f t="shared" ref="D145:BF145" si="3">SUM(D$79:D$144)/1000000</f>
        <v>1.06087</v>
      </c>
      <c r="E145" s="375">
        <f t="shared" si="3"/>
        <v>1.0775399999999999</v>
      </c>
      <c r="F145" s="375">
        <f t="shared" si="3"/>
        <v>1.08663</v>
      </c>
      <c r="G145" s="375">
        <f t="shared" si="3"/>
        <v>1.10049</v>
      </c>
      <c r="H145" s="375">
        <f t="shared" si="3"/>
        <v>1.11354</v>
      </c>
      <c r="I145" s="375">
        <f t="shared" si="3"/>
        <v>1.1267100000000001</v>
      </c>
      <c r="J145" s="375">
        <f t="shared" si="3"/>
        <v>1.14036</v>
      </c>
      <c r="K145" s="375">
        <f t="shared" si="3"/>
        <v>1.1554</v>
      </c>
      <c r="L145" s="375">
        <f t="shared" si="3"/>
        <v>1.1715500000000001</v>
      </c>
      <c r="M145" s="375">
        <f t="shared" si="3"/>
        <v>1.1877899999999999</v>
      </c>
      <c r="N145" s="375">
        <f t="shared" si="3"/>
        <v>1.20306</v>
      </c>
      <c r="O145" s="375">
        <f t="shared" si="3"/>
        <v>1.2172799999999999</v>
      </c>
      <c r="P145" s="375">
        <f t="shared" si="3"/>
        <v>1.23092</v>
      </c>
      <c r="Q145" s="375">
        <f t="shared" si="3"/>
        <v>1.24373</v>
      </c>
      <c r="R145" s="375">
        <f t="shared" si="3"/>
        <v>1.25604</v>
      </c>
      <c r="S145" s="375">
        <f t="shared" si="3"/>
        <v>1.26799</v>
      </c>
      <c r="T145" s="375">
        <f t="shared" si="3"/>
        <v>1.27986</v>
      </c>
      <c r="U145" s="375">
        <f t="shared" si="3"/>
        <v>1.29115</v>
      </c>
      <c r="V145" s="375">
        <f t="shared" si="3"/>
        <v>1.3022199999999999</v>
      </c>
      <c r="W145" s="375">
        <f t="shared" si="3"/>
        <v>1.31246</v>
      </c>
      <c r="X145" s="375">
        <f t="shared" si="3"/>
        <v>1.3218300000000001</v>
      </c>
      <c r="Y145" s="375">
        <f t="shared" si="3"/>
        <v>1.33047</v>
      </c>
      <c r="Z145" s="375">
        <f t="shared" si="3"/>
        <v>1.33857</v>
      </c>
      <c r="AA145" s="375">
        <f t="shared" si="3"/>
        <v>1.3460399999999999</v>
      </c>
      <c r="AB145" s="375">
        <f t="shared" si="3"/>
        <v>1.3532500000000001</v>
      </c>
      <c r="AC145" s="375">
        <f t="shared" si="3"/>
        <v>1.3602099999999999</v>
      </c>
      <c r="AD145" s="375">
        <f t="shared" si="3"/>
        <v>1.36686</v>
      </c>
      <c r="AE145" s="375">
        <f t="shared" si="3"/>
        <v>1.3731899999999999</v>
      </c>
      <c r="AF145" s="375">
        <f t="shared" si="3"/>
        <v>1.3791599999999999</v>
      </c>
      <c r="AG145" s="375">
        <f t="shared" si="3"/>
        <v>1.38486</v>
      </c>
      <c r="AH145" s="375">
        <f t="shared" si="3"/>
        <v>1.39036</v>
      </c>
      <c r="AI145" s="375">
        <f t="shared" si="3"/>
        <v>1.3958299999999999</v>
      </c>
      <c r="AJ145" s="375">
        <f t="shared" si="3"/>
        <v>1.4013199999999999</v>
      </c>
      <c r="AK145" s="375">
        <f t="shared" si="3"/>
        <v>1.4071100000000001</v>
      </c>
      <c r="AL145" s="375">
        <f t="shared" si="3"/>
        <v>1.41306</v>
      </c>
      <c r="AM145" s="375">
        <f t="shared" si="3"/>
        <v>1.41926</v>
      </c>
      <c r="AN145" s="375">
        <f t="shared" si="3"/>
        <v>1.4255500000000001</v>
      </c>
      <c r="AO145" s="375">
        <f t="shared" si="3"/>
        <v>1.43188</v>
      </c>
      <c r="AP145" s="375">
        <f t="shared" si="3"/>
        <v>1.43818</v>
      </c>
      <c r="AQ145" s="375">
        <f t="shared" si="3"/>
        <v>1.4441900000000001</v>
      </c>
      <c r="AR145" s="375">
        <f t="shared" si="3"/>
        <v>1.4500599999999999</v>
      </c>
      <c r="AS145" s="375">
        <f t="shared" si="3"/>
        <v>1.4556100000000001</v>
      </c>
      <c r="AT145" s="375">
        <f t="shared" si="3"/>
        <v>1.46082</v>
      </c>
      <c r="AU145" s="375">
        <f t="shared" si="3"/>
        <v>1.46576</v>
      </c>
      <c r="AV145" s="375">
        <f t="shared" si="3"/>
        <v>1.47031</v>
      </c>
      <c r="AW145" s="375">
        <f t="shared" si="3"/>
        <v>1.4744900000000001</v>
      </c>
      <c r="AX145" s="375">
        <f t="shared" si="3"/>
        <v>1.47827</v>
      </c>
      <c r="AY145" s="375">
        <f t="shared" si="3"/>
        <v>1.4819199999999999</v>
      </c>
      <c r="AZ145" s="375">
        <f t="shared" si="3"/>
        <v>1.4852399999999999</v>
      </c>
      <c r="BA145" s="375">
        <f t="shared" si="3"/>
        <v>1.4883</v>
      </c>
      <c r="BB145" s="375">
        <f t="shared" si="3"/>
        <v>1.4911099999999999</v>
      </c>
      <c r="BC145" s="375">
        <f t="shared" si="3"/>
        <v>1.4938</v>
      </c>
      <c r="BD145" s="375">
        <f t="shared" si="3"/>
        <v>1.49648</v>
      </c>
      <c r="BE145" s="375">
        <f t="shared" si="3"/>
        <v>1.49932</v>
      </c>
      <c r="BF145" s="375">
        <f t="shared" si="3"/>
        <v>1.5021500000000001</v>
      </c>
    </row>
    <row r="146" spans="1:58" x14ac:dyDescent="0.2">
      <c r="A146" s="378"/>
      <c r="B146" s="238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77"/>
      <c r="BC146" s="377"/>
      <c r="BD146" s="377"/>
      <c r="BE146" s="377"/>
      <c r="BF146" s="377"/>
    </row>
    <row r="147" spans="1:58" x14ac:dyDescent="0.2">
      <c r="A147" s="376" t="s">
        <v>788</v>
      </c>
      <c r="B147" s="238"/>
      <c r="C147" s="375">
        <f t="shared" ref="C147:BE147" si="4">SUM(C$10:C$75,C$79:C$144)/1000000</f>
        <v>2.2436500000000001</v>
      </c>
      <c r="D147" s="375">
        <f t="shared" si="4"/>
        <v>2.27949</v>
      </c>
      <c r="E147" s="375">
        <f t="shared" si="4"/>
        <v>2.3120099999999999</v>
      </c>
      <c r="F147" s="375">
        <f t="shared" si="4"/>
        <v>2.3308800000000001</v>
      </c>
      <c r="G147" s="375">
        <f t="shared" si="4"/>
        <v>2.3586100000000001</v>
      </c>
      <c r="H147" s="375">
        <f t="shared" si="4"/>
        <v>2.3846500000000002</v>
      </c>
      <c r="I147" s="375">
        <f t="shared" si="4"/>
        <v>2.4099900000000001</v>
      </c>
      <c r="J147" s="375">
        <f t="shared" si="4"/>
        <v>2.43676</v>
      </c>
      <c r="K147" s="375">
        <f t="shared" si="4"/>
        <v>2.4668700000000001</v>
      </c>
      <c r="L147" s="375">
        <f t="shared" si="4"/>
        <v>2.4997199999999999</v>
      </c>
      <c r="M147" s="375">
        <f t="shared" si="4"/>
        <v>2.53267</v>
      </c>
      <c r="N147" s="375">
        <f t="shared" si="4"/>
        <v>2.56352</v>
      </c>
      <c r="O147" s="375">
        <f t="shared" si="4"/>
        <v>2.5926100000000001</v>
      </c>
      <c r="P147" s="375">
        <f t="shared" si="4"/>
        <v>2.6204900000000002</v>
      </c>
      <c r="Q147" s="375">
        <f t="shared" si="4"/>
        <v>2.6467499999999999</v>
      </c>
      <c r="R147" s="375">
        <f t="shared" si="4"/>
        <v>2.67198</v>
      </c>
      <c r="S147" s="375">
        <f t="shared" si="4"/>
        <v>2.6967300000000001</v>
      </c>
      <c r="T147" s="375">
        <f t="shared" si="4"/>
        <v>2.72153</v>
      </c>
      <c r="U147" s="375">
        <f t="shared" si="4"/>
        <v>2.7455400000000001</v>
      </c>
      <c r="V147" s="375">
        <f t="shared" si="4"/>
        <v>2.7690999999999999</v>
      </c>
      <c r="W147" s="375">
        <f t="shared" si="4"/>
        <v>2.7913899999999998</v>
      </c>
      <c r="X147" s="375">
        <f t="shared" si="4"/>
        <v>2.8121200000000002</v>
      </c>
      <c r="Y147" s="375">
        <f t="shared" si="4"/>
        <v>2.83168</v>
      </c>
      <c r="Z147" s="375">
        <f t="shared" si="4"/>
        <v>2.85025</v>
      </c>
      <c r="AA147" s="375">
        <f t="shared" si="4"/>
        <v>2.8678300000000001</v>
      </c>
      <c r="AB147" s="375">
        <f t="shared" si="4"/>
        <v>2.8849100000000001</v>
      </c>
      <c r="AC147" s="375">
        <f t="shared" si="4"/>
        <v>2.90158</v>
      </c>
      <c r="AD147" s="375">
        <f t="shared" si="4"/>
        <v>2.9178700000000002</v>
      </c>
      <c r="AE147" s="375">
        <f t="shared" si="4"/>
        <v>2.93377</v>
      </c>
      <c r="AF147" s="375">
        <f t="shared" si="4"/>
        <v>2.94929</v>
      </c>
      <c r="AG147" s="375">
        <f t="shared" si="4"/>
        <v>2.9645299999999999</v>
      </c>
      <c r="AH147" s="375">
        <f t="shared" si="4"/>
        <v>2.9795099999999999</v>
      </c>
      <c r="AI147" s="375">
        <f t="shared" si="4"/>
        <v>2.9945400000000002</v>
      </c>
      <c r="AJ147" s="375">
        <f t="shared" si="4"/>
        <v>3.00969</v>
      </c>
      <c r="AK147" s="375">
        <f t="shared" si="4"/>
        <v>3.0252500000000002</v>
      </c>
      <c r="AL147" s="375">
        <f t="shared" si="4"/>
        <v>3.0410400000000002</v>
      </c>
      <c r="AM147" s="375">
        <f t="shared" si="4"/>
        <v>3.05714</v>
      </c>
      <c r="AN147" s="375">
        <f t="shared" si="4"/>
        <v>3.0735000000000001</v>
      </c>
      <c r="AO147" s="375">
        <f t="shared" si="4"/>
        <v>3.08989</v>
      </c>
      <c r="AP147" s="375">
        <f t="shared" si="4"/>
        <v>3.10616</v>
      </c>
      <c r="AQ147" s="375">
        <f t="shared" si="4"/>
        <v>3.1219199999999998</v>
      </c>
      <c r="AR147" s="375">
        <f t="shared" si="4"/>
        <v>3.13734</v>
      </c>
      <c r="AS147" s="375">
        <f t="shared" si="4"/>
        <v>3.1522399999999999</v>
      </c>
      <c r="AT147" s="375">
        <f t="shared" si="4"/>
        <v>3.1663600000000001</v>
      </c>
      <c r="AU147" s="375">
        <f t="shared" si="4"/>
        <v>3.17984</v>
      </c>
      <c r="AV147" s="375">
        <f t="shared" si="4"/>
        <v>3.1925500000000002</v>
      </c>
      <c r="AW147" s="375">
        <f t="shared" si="4"/>
        <v>3.20438</v>
      </c>
      <c r="AX147" s="375">
        <f t="shared" si="4"/>
        <v>3.2154099999999999</v>
      </c>
      <c r="AY147" s="375">
        <f t="shared" si="4"/>
        <v>3.2259699999999998</v>
      </c>
      <c r="AZ147" s="375">
        <f t="shared" si="4"/>
        <v>3.2358500000000001</v>
      </c>
      <c r="BA147" s="375">
        <f t="shared" si="4"/>
        <v>3.24512</v>
      </c>
      <c r="BB147" s="375">
        <f t="shared" si="4"/>
        <v>3.2537099999999999</v>
      </c>
      <c r="BC147" s="375">
        <f t="shared" si="4"/>
        <v>3.2618999999999998</v>
      </c>
      <c r="BD147" s="375">
        <f t="shared" si="4"/>
        <v>3.2698200000000002</v>
      </c>
      <c r="BE147" s="375">
        <f t="shared" si="4"/>
        <v>3.27765</v>
      </c>
      <c r="BF147" s="375">
        <f>SUM(BF$10:BF$75,BF$79:BF$144)/1000000</f>
        <v>3.2852600000000001</v>
      </c>
    </row>
    <row r="148" spans="1:58" x14ac:dyDescent="0.2">
      <c r="C148" s="386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3"/>
  <sheetViews>
    <sheetView workbookViewId="0">
      <selection activeCell="BM12" sqref="BM12"/>
    </sheetView>
  </sheetViews>
  <sheetFormatPr defaultRowHeight="12.75" x14ac:dyDescent="0.2"/>
  <cols>
    <col min="1" max="1" width="35.7109375" customWidth="1"/>
    <col min="3" max="7" width="8.85546875" customWidth="1"/>
    <col min="12" max="69" width="8.85546875" customWidth="1"/>
  </cols>
  <sheetData>
    <row r="1" spans="1:62" ht="15.75" x14ac:dyDescent="0.25">
      <c r="A1" s="6" t="s">
        <v>247</v>
      </c>
    </row>
    <row r="2" spans="1:62" x14ac:dyDescent="0.2">
      <c r="A2" s="257"/>
    </row>
    <row r="3" spans="1:62" ht="18.75" x14ac:dyDescent="0.3">
      <c r="A3" s="7" t="s">
        <v>402</v>
      </c>
      <c r="B3" s="8"/>
      <c r="C3" s="8"/>
      <c r="D3" s="8"/>
      <c r="E3" s="14" t="s">
        <v>519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">
      <c r="A4" s="8"/>
      <c r="B4" s="8"/>
      <c r="C4" s="65" t="s">
        <v>437</v>
      </c>
      <c r="D4" s="65" t="s">
        <v>438</v>
      </c>
      <c r="E4" s="65" t="s">
        <v>439</v>
      </c>
      <c r="F4" s="65" t="s">
        <v>440</v>
      </c>
      <c r="G4" s="65" t="s">
        <v>441</v>
      </c>
      <c r="H4" s="65" t="s">
        <v>442</v>
      </c>
      <c r="I4" s="65" t="s">
        <v>443</v>
      </c>
      <c r="J4" s="65" t="s">
        <v>444</v>
      </c>
      <c r="K4" s="65" t="s">
        <v>445</v>
      </c>
      <c r="L4" s="65" t="s">
        <v>446</v>
      </c>
      <c r="M4" s="65" t="s">
        <v>447</v>
      </c>
      <c r="N4" s="63" t="s">
        <v>448</v>
      </c>
      <c r="O4" s="63" t="s">
        <v>449</v>
      </c>
      <c r="P4" s="63" t="s">
        <v>450</v>
      </c>
      <c r="Q4" s="63" t="s">
        <v>451</v>
      </c>
      <c r="R4" s="63" t="s">
        <v>452</v>
      </c>
      <c r="S4" s="9" t="s">
        <v>453</v>
      </c>
      <c r="T4" s="9" t="s">
        <v>454</v>
      </c>
      <c r="U4" s="9" t="s">
        <v>455</v>
      </c>
      <c r="V4" s="9" t="s">
        <v>456</v>
      </c>
      <c r="W4" s="9" t="s">
        <v>457</v>
      </c>
      <c r="X4" s="9" t="s">
        <v>458</v>
      </c>
      <c r="Y4" s="9" t="s">
        <v>459</v>
      </c>
      <c r="Z4" s="9" t="s">
        <v>460</v>
      </c>
      <c r="AA4" s="9" t="s">
        <v>461</v>
      </c>
      <c r="AB4" s="9" t="s">
        <v>462</v>
      </c>
      <c r="AC4" s="9" t="s">
        <v>463</v>
      </c>
      <c r="AD4" s="9" t="s">
        <v>464</v>
      </c>
      <c r="AE4" s="9" t="s">
        <v>465</v>
      </c>
      <c r="AF4" s="9" t="s">
        <v>466</v>
      </c>
      <c r="AG4" s="9" t="s">
        <v>467</v>
      </c>
      <c r="AH4" s="9" t="s">
        <v>468</v>
      </c>
      <c r="AI4" s="9" t="s">
        <v>469</v>
      </c>
      <c r="AJ4" s="9" t="s">
        <v>470</v>
      </c>
      <c r="AK4" s="9" t="s">
        <v>471</v>
      </c>
      <c r="AL4" s="9" t="s">
        <v>472</v>
      </c>
      <c r="AM4" s="9" t="s">
        <v>473</v>
      </c>
      <c r="AN4" s="9" t="s">
        <v>474</v>
      </c>
      <c r="AO4" s="9" t="s">
        <v>475</v>
      </c>
      <c r="AP4" s="9" t="s">
        <v>476</v>
      </c>
      <c r="AQ4" s="9" t="s">
        <v>477</v>
      </c>
      <c r="AR4" s="9" t="s">
        <v>478</v>
      </c>
      <c r="AS4" s="9" t="s">
        <v>479</v>
      </c>
      <c r="AT4" s="9" t="s">
        <v>480</v>
      </c>
      <c r="AU4" s="9" t="s">
        <v>481</v>
      </c>
      <c r="AV4" s="9" t="s">
        <v>482</v>
      </c>
      <c r="AW4" s="9" t="s">
        <v>483</v>
      </c>
      <c r="AX4" s="9" t="s">
        <v>484</v>
      </c>
      <c r="AY4" s="9" t="s">
        <v>485</v>
      </c>
      <c r="AZ4" s="9" t="s">
        <v>486</v>
      </c>
      <c r="BA4" s="9" t="s">
        <v>487</v>
      </c>
      <c r="BB4" s="9" t="s">
        <v>488</v>
      </c>
      <c r="BC4" s="9" t="s">
        <v>489</v>
      </c>
      <c r="BD4" s="9" t="s">
        <v>491</v>
      </c>
      <c r="BE4" s="9" t="s">
        <v>492</v>
      </c>
      <c r="BF4" s="9" t="s">
        <v>493</v>
      </c>
      <c r="BG4" s="9" t="s">
        <v>494</v>
      </c>
      <c r="BH4" s="9" t="s">
        <v>495</v>
      </c>
      <c r="BI4" s="9" t="s">
        <v>496</v>
      </c>
      <c r="BJ4" s="9" t="s">
        <v>497</v>
      </c>
    </row>
    <row r="5" spans="1:62" x14ac:dyDescent="0.2">
      <c r="A5" s="10" t="s">
        <v>506</v>
      </c>
      <c r="B5" s="8"/>
      <c r="C5" s="64">
        <v>0.6</v>
      </c>
      <c r="D5" s="64">
        <v>1.2</v>
      </c>
      <c r="E5" s="64">
        <v>1.8789999999999996</v>
      </c>
      <c r="F5" s="102">
        <v>2.1070000000000002</v>
      </c>
      <c r="G5" s="102">
        <v>2.3369999999999997</v>
      </c>
      <c r="H5" s="102">
        <v>2.0489999999999999</v>
      </c>
      <c r="I5" s="102">
        <v>2.1040000000000001</v>
      </c>
      <c r="J5" s="102">
        <v>2.2429999999999999</v>
      </c>
      <c r="K5" s="102">
        <v>0.25</v>
      </c>
      <c r="L5" s="102">
        <v>0</v>
      </c>
      <c r="M5" s="102">
        <v>0</v>
      </c>
      <c r="N5" s="344">
        <v>0</v>
      </c>
      <c r="O5" s="344">
        <v>0</v>
      </c>
      <c r="P5" s="344">
        <v>0</v>
      </c>
      <c r="Q5" s="344">
        <v>0</v>
      </c>
      <c r="R5" s="344">
        <v>0</v>
      </c>
      <c r="S5" s="343">
        <v>0</v>
      </c>
      <c r="T5" s="343">
        <v>0</v>
      </c>
      <c r="U5" s="343">
        <v>0</v>
      </c>
      <c r="V5" s="343">
        <v>2.6749999999999998</v>
      </c>
      <c r="W5" s="343">
        <v>2.54</v>
      </c>
      <c r="X5" s="343">
        <v>2.4009999999999998</v>
      </c>
      <c r="Y5" s="343">
        <v>2.2050000000000001</v>
      </c>
      <c r="Z5" s="343">
        <v>1.9890000000000001</v>
      </c>
      <c r="AA5" s="343">
        <v>1.716</v>
      </c>
      <c r="AB5" s="343">
        <v>1.407</v>
      </c>
      <c r="AC5" s="343">
        <v>1.0369999999999999</v>
      </c>
      <c r="AD5" s="343">
        <v>0.67500000000000004</v>
      </c>
      <c r="AE5" s="343">
        <v>0.34100000000000003</v>
      </c>
      <c r="AF5" s="343">
        <v>1.2999999999999999E-2</v>
      </c>
      <c r="AG5" s="343">
        <v>-0.313</v>
      </c>
      <c r="AH5" s="343">
        <v>-0.58899999999999997</v>
      </c>
      <c r="AI5" s="343">
        <v>-0.88300000000000001</v>
      </c>
      <c r="AJ5" s="343">
        <v>-1.155</v>
      </c>
      <c r="AK5" s="343">
        <v>-1.4570000000000001</v>
      </c>
      <c r="AL5" s="343">
        <v>-1.726</v>
      </c>
      <c r="AM5" s="343">
        <v>-1.9059999999999999</v>
      </c>
      <c r="AN5" s="343">
        <v>-1.9970000000000001</v>
      </c>
      <c r="AO5" s="343">
        <v>-1.9990000000000001</v>
      </c>
      <c r="AP5" s="343">
        <v>-1.903</v>
      </c>
      <c r="AQ5" s="343">
        <v>-1.7649999999999999</v>
      </c>
      <c r="AR5" s="343">
        <v>-1.5660000000000001</v>
      </c>
      <c r="AS5" s="343">
        <v>-1.3839999999999999</v>
      </c>
      <c r="AT5" s="343">
        <v>-1.21</v>
      </c>
      <c r="AU5" s="343">
        <v>-1.0509999999999999</v>
      </c>
      <c r="AV5" s="343">
        <v>-0.93200000000000005</v>
      </c>
      <c r="AW5" s="343">
        <v>-0.87</v>
      </c>
      <c r="AX5" s="343">
        <v>-0.82299999999999995</v>
      </c>
      <c r="AY5" s="343">
        <v>-0.80100000000000005</v>
      </c>
      <c r="AZ5" s="343">
        <v>-0.83299999999999996</v>
      </c>
      <c r="BA5" s="343">
        <v>-0.90700000000000003</v>
      </c>
      <c r="BB5" s="343">
        <v>-1.131</v>
      </c>
      <c r="BC5" s="343">
        <v>-1.472</v>
      </c>
      <c r="BD5" s="343">
        <v>-2</v>
      </c>
      <c r="BE5" s="343">
        <v>-2.6659999999999999</v>
      </c>
      <c r="BF5" s="343">
        <v>-3.298</v>
      </c>
      <c r="BG5" s="343">
        <v>-3.9710000000000001</v>
      </c>
      <c r="BH5" s="343">
        <v>-4.6379999999999999</v>
      </c>
      <c r="BI5" s="343">
        <v>-5.367</v>
      </c>
      <c r="BJ5" s="343">
        <v>-6.085</v>
      </c>
    </row>
    <row r="6" spans="1:62" x14ac:dyDescent="0.2">
      <c r="A6" s="10" t="s">
        <v>516</v>
      </c>
      <c r="B6" s="8"/>
      <c r="C6" s="64">
        <v>1.4999999999999999E-2</v>
      </c>
      <c r="D6" s="64">
        <v>6.9000000000000006E-2</v>
      </c>
      <c r="E6" s="64">
        <f>0.131+0.146-0.007</f>
        <v>0.27</v>
      </c>
      <c r="F6" s="64">
        <f>0.191+0.557-0.022</f>
        <v>0.72599999999999998</v>
      </c>
      <c r="G6" s="64">
        <f>0.359+1.13-0.052</f>
        <v>1.4369999999999998</v>
      </c>
      <c r="H6" s="64">
        <f>0.436+1.313-(0.119-0.171)</f>
        <v>1.8009999999999999</v>
      </c>
      <c r="I6" s="64">
        <f>0.385+(-0.995)-(0.097-0.063)</f>
        <v>-0.64400000000000002</v>
      </c>
      <c r="J6" s="64">
        <f>0.383+(-3.495)-(0.077-0.4)</f>
        <v>-2.7890000000000001</v>
      </c>
      <c r="K6" s="64">
        <f>0.433+1.75-(0.081-(-0.421))</f>
        <v>1.6809999999999998</v>
      </c>
      <c r="L6" s="64">
        <f>0.518+3.518-(0.111-(-0.058))</f>
        <v>3.8669999999999995</v>
      </c>
      <c r="M6" s="64">
        <f>0.539+(-0.204)-(0.077-(-0.055))</f>
        <v>0.20300000000000007</v>
      </c>
      <c r="N6" s="344">
        <v>3.9320000000000004</v>
      </c>
      <c r="O6" s="344">
        <v>1.9870000000000003</v>
      </c>
      <c r="P6" s="344">
        <v>2.1109999999999998</v>
      </c>
      <c r="Q6" s="344">
        <v>2.274</v>
      </c>
      <c r="R6" s="344">
        <v>2.4510000000000001</v>
      </c>
      <c r="S6" s="343">
        <v>2.1232711000000002</v>
      </c>
      <c r="T6" s="343">
        <v>2.2760331484606291</v>
      </c>
      <c r="U6" s="343">
        <v>2.4411469459798334</v>
      </c>
      <c r="V6" s="343">
        <v>2.7181401429376155</v>
      </c>
      <c r="W6" s="343">
        <v>3.1110617492847608</v>
      </c>
      <c r="X6" s="343">
        <v>3.4925041731074882</v>
      </c>
      <c r="Y6" s="343">
        <v>3.8840980039462085</v>
      </c>
      <c r="Z6" s="343">
        <v>4.2833859334919762</v>
      </c>
      <c r="AA6" s="343">
        <v>4.6879004359770615</v>
      </c>
      <c r="AB6" s="343">
        <v>5.0942918132451434</v>
      </c>
      <c r="AC6" s="343">
        <v>5.5694319312225637</v>
      </c>
      <c r="AD6" s="343">
        <v>6.0551799084760267</v>
      </c>
      <c r="AE6" s="343">
        <v>6.5536305289046597</v>
      </c>
      <c r="AF6" s="343">
        <v>7.0671161766589687</v>
      </c>
      <c r="AG6" s="343">
        <v>7.5971142821884774</v>
      </c>
      <c r="AH6" s="343">
        <v>8.0500123151705765</v>
      </c>
      <c r="AI6" s="343">
        <v>8.5084893002789723</v>
      </c>
      <c r="AJ6" s="343">
        <v>8.9729901598412614</v>
      </c>
      <c r="AK6" s="343">
        <v>9.4436762105030159</v>
      </c>
      <c r="AL6" s="343">
        <v>9.9209435301358528</v>
      </c>
      <c r="AM6" s="343">
        <v>10.410166361298936</v>
      </c>
      <c r="AN6" s="343">
        <v>10.919502456845933</v>
      </c>
      <c r="AO6" s="343">
        <v>11.457635487009776</v>
      </c>
      <c r="AP6" s="343">
        <v>12.034164277092525</v>
      </c>
      <c r="AQ6" s="343">
        <v>12.657487182204186</v>
      </c>
      <c r="AR6" s="343">
        <v>13.334857091339135</v>
      </c>
      <c r="AS6" s="343">
        <v>14.071741779598462</v>
      </c>
      <c r="AT6" s="343">
        <v>14.870922402967116</v>
      </c>
      <c r="AU6" s="343">
        <v>15.735474711687035</v>
      </c>
      <c r="AV6" s="343">
        <v>16.667381079474435</v>
      </c>
      <c r="AW6" s="343">
        <v>17.666992531760457</v>
      </c>
      <c r="AX6" s="343">
        <v>18.735601126832812</v>
      </c>
      <c r="AY6" s="343">
        <v>19.876015186946471</v>
      </c>
      <c r="AZ6" s="343">
        <v>21.08964393576932</v>
      </c>
      <c r="BA6" s="343">
        <v>22.377199184924404</v>
      </c>
      <c r="BB6" s="343">
        <v>23.73569686698513</v>
      </c>
      <c r="BC6" s="343">
        <v>25.158563414321875</v>
      </c>
      <c r="BD6" s="343">
        <v>26.63747388727646</v>
      </c>
      <c r="BE6" s="343">
        <v>28.162454937555296</v>
      </c>
      <c r="BF6" s="343">
        <v>29.731813463554701</v>
      </c>
      <c r="BG6" s="343">
        <v>31.348271305443031</v>
      </c>
      <c r="BH6" s="343">
        <v>33.013317507326619</v>
      </c>
      <c r="BI6" s="343">
        <v>34.727897748224123</v>
      </c>
      <c r="BJ6" s="343">
        <v>36.492941551467524</v>
      </c>
    </row>
    <row r="7" spans="1:62" x14ac:dyDescent="0.2">
      <c r="A7" s="10" t="s">
        <v>517</v>
      </c>
      <c r="B7" s="8"/>
      <c r="C7" s="64">
        <v>0</v>
      </c>
      <c r="D7" s="64">
        <v>0</v>
      </c>
      <c r="E7" s="64">
        <v>7.6999999999999999E-2</v>
      </c>
      <c r="F7" s="102">
        <v>0.23400000000000001</v>
      </c>
      <c r="G7" s="102">
        <v>0.46800000000000003</v>
      </c>
      <c r="H7" s="102">
        <v>0.70699999999999996</v>
      </c>
      <c r="I7" s="102">
        <v>0.23699999999999999</v>
      </c>
      <c r="J7" s="102">
        <v>4.0000000000000001E-3</v>
      </c>
      <c r="K7" s="102">
        <v>-2.7E-2</v>
      </c>
      <c r="L7" s="102">
        <v>0.872</v>
      </c>
      <c r="M7" s="102">
        <v>0.16</v>
      </c>
      <c r="N7" s="344">
        <v>0.89</v>
      </c>
      <c r="O7" s="344">
        <v>0.47799999999999998</v>
      </c>
      <c r="P7" s="344">
        <v>0.51100000000000001</v>
      </c>
      <c r="Q7" s="344">
        <v>0.55100000000000005</v>
      </c>
      <c r="R7" s="344">
        <v>0.59399999999999997</v>
      </c>
      <c r="S7" s="343">
        <v>0.50958506400000003</v>
      </c>
      <c r="T7" s="343">
        <v>0.54624795563055095</v>
      </c>
      <c r="U7" s="343">
        <v>0.58587526703516002</v>
      </c>
      <c r="V7" s="343">
        <v>0.65235363430502769</v>
      </c>
      <c r="W7" s="343">
        <v>0.74665481982834259</v>
      </c>
      <c r="X7" s="343">
        <v>0.83820100154579713</v>
      </c>
      <c r="Y7" s="343">
        <v>0.93218352094709001</v>
      </c>
      <c r="Z7" s="343">
        <v>1.0280126240380743</v>
      </c>
      <c r="AA7" s="343">
        <v>1.1250961046344947</v>
      </c>
      <c r="AB7" s="343">
        <v>1.2226300351788344</v>
      </c>
      <c r="AC7" s="343">
        <v>1.3366636634934153</v>
      </c>
      <c r="AD7" s="343">
        <v>1.4532431780342463</v>
      </c>
      <c r="AE7" s="343">
        <v>1.5728713269371182</v>
      </c>
      <c r="AF7" s="343">
        <v>1.6961078823981524</v>
      </c>
      <c r="AG7" s="343">
        <v>1.8233074277252346</v>
      </c>
      <c r="AH7" s="343">
        <v>1.9320029556409384</v>
      </c>
      <c r="AI7" s="343">
        <v>2.0420374320669534</v>
      </c>
      <c r="AJ7" s="343">
        <v>2.1535176383619028</v>
      </c>
      <c r="AK7" s="343">
        <v>2.2664822905207238</v>
      </c>
      <c r="AL7" s="343">
        <v>2.3810264472326046</v>
      </c>
      <c r="AM7" s="343">
        <v>2.4984399267117445</v>
      </c>
      <c r="AN7" s="343">
        <v>2.6206805896430239</v>
      </c>
      <c r="AO7" s="343">
        <v>2.7498325168823463</v>
      </c>
      <c r="AP7" s="343">
        <v>2.8881994265022062</v>
      </c>
      <c r="AQ7" s="343">
        <v>3.0377969237290046</v>
      </c>
      <c r="AR7" s="343">
        <v>3.2003657019213922</v>
      </c>
      <c r="AS7" s="343">
        <v>3.3772180271036305</v>
      </c>
      <c r="AT7" s="343">
        <v>3.5690213767121075</v>
      </c>
      <c r="AU7" s="343">
        <v>3.7765139308048883</v>
      </c>
      <c r="AV7" s="343">
        <v>4.0001714590738642</v>
      </c>
      <c r="AW7" s="343">
        <v>4.2400782076225099</v>
      </c>
      <c r="AX7" s="343">
        <v>4.496544270439875</v>
      </c>
      <c r="AY7" s="343">
        <v>4.7702436448671532</v>
      </c>
      <c r="AZ7" s="343">
        <v>5.0615145445846368</v>
      </c>
      <c r="BA7" s="343">
        <v>5.3705278043818563</v>
      </c>
      <c r="BB7" s="343">
        <v>5.6965672480764313</v>
      </c>
      <c r="BC7" s="343">
        <v>6.0380552194372497</v>
      </c>
      <c r="BD7" s="343">
        <v>6.3929937329463504</v>
      </c>
      <c r="BE7" s="343">
        <v>6.7589891850132711</v>
      </c>
      <c r="BF7" s="343">
        <v>7.1356352312531284</v>
      </c>
      <c r="BG7" s="343">
        <v>7.5235851133063276</v>
      </c>
      <c r="BH7" s="343">
        <v>7.9231962017583886</v>
      </c>
      <c r="BI7" s="343">
        <v>8.3346954595737888</v>
      </c>
      <c r="BJ7" s="343">
        <v>8.7583059723522059</v>
      </c>
    </row>
    <row r="8" spans="1:62" x14ac:dyDescent="0.2">
      <c r="A8" s="10" t="s">
        <v>546</v>
      </c>
      <c r="B8" s="8"/>
      <c r="C8" s="64">
        <v>0</v>
      </c>
      <c r="D8" s="64">
        <v>0</v>
      </c>
      <c r="E8" s="64">
        <v>0</v>
      </c>
      <c r="F8" s="64">
        <v>0</v>
      </c>
      <c r="G8" s="64">
        <v>-6.0000000000000001E-3</v>
      </c>
      <c r="H8" s="64">
        <v>-2.5000000000000001E-2</v>
      </c>
      <c r="I8" s="64">
        <v>1.6E-2</v>
      </c>
      <c r="J8" s="64">
        <v>2.5999999999999999E-2</v>
      </c>
      <c r="K8" s="64">
        <v>0.01</v>
      </c>
      <c r="L8" s="64">
        <v>1E-3</v>
      </c>
      <c r="M8" s="64">
        <v>8.0000000000000002E-3</v>
      </c>
      <c r="N8" s="344">
        <v>7.0000000000000001E-3</v>
      </c>
      <c r="O8" s="344">
        <v>2.1999999999999999E-2</v>
      </c>
      <c r="P8" s="344">
        <v>3.5000000000000003E-2</v>
      </c>
      <c r="Q8" s="344">
        <v>3.7999999999999999E-2</v>
      </c>
      <c r="R8" s="344">
        <v>4.1000000000000002E-2</v>
      </c>
      <c r="S8" s="343">
        <v>3.5517794818441459E-2</v>
      </c>
      <c r="T8" s="343">
        <v>3.8073177922026032E-2</v>
      </c>
      <c r="U8" s="343">
        <v>4.0835179430915212E-2</v>
      </c>
      <c r="V8" s="343">
        <v>4.5468684561583948E-2</v>
      </c>
      <c r="W8" s="343">
        <v>5.2041424610638605E-2</v>
      </c>
      <c r="X8" s="343">
        <v>5.8422142430602626E-2</v>
      </c>
      <c r="Y8" s="343">
        <v>6.4972671628639164E-2</v>
      </c>
      <c r="Z8" s="343">
        <v>7.1651906680200356E-2</v>
      </c>
      <c r="AA8" s="343">
        <v>7.8418571144455149E-2</v>
      </c>
      <c r="AB8" s="343">
        <v>8.5216631718911029E-2</v>
      </c>
      <c r="AC8" s="343">
        <v>9.3164712027794847E-2</v>
      </c>
      <c r="AD8" s="343">
        <v>0.1012902391870735</v>
      </c>
      <c r="AE8" s="343">
        <v>0.10962825446148147</v>
      </c>
      <c r="AF8" s="343">
        <v>0.11821777366096196</v>
      </c>
      <c r="AG8" s="343">
        <v>0.12708351104436053</v>
      </c>
      <c r="AH8" s="343">
        <v>0.13465952873194359</v>
      </c>
      <c r="AI8" s="343">
        <v>0.14232887038410363</v>
      </c>
      <c r="AJ8" s="343">
        <v>0.15009897860199586</v>
      </c>
      <c r="AK8" s="343">
        <v>0.15797255186887957</v>
      </c>
      <c r="AL8" s="343">
        <v>0.16595621572238684</v>
      </c>
      <c r="AM8" s="343">
        <v>0.17413986977285048</v>
      </c>
      <c r="AN8" s="343">
        <v>0.18265997581831228</v>
      </c>
      <c r="AO8" s="343">
        <v>0.19166179313235454</v>
      </c>
      <c r="AP8" s="343">
        <v>0.20130588958008719</v>
      </c>
      <c r="AQ8" s="343">
        <v>0.21173275172189793</v>
      </c>
      <c r="AR8" s="343">
        <v>0.22306370491428182</v>
      </c>
      <c r="AS8" s="343">
        <v>0.23539021336741622</v>
      </c>
      <c r="AT8" s="343">
        <v>0.24875879988643493</v>
      </c>
      <c r="AU8" s="343">
        <v>0.26322091520977914</v>
      </c>
      <c r="AV8" s="343">
        <v>0.2788097202196867</v>
      </c>
      <c r="AW8" s="343">
        <v>0.29553108682259444</v>
      </c>
      <c r="AX8" s="343">
        <v>0.31340662839663225</v>
      </c>
      <c r="AY8" s="343">
        <v>0.33248332218066329</v>
      </c>
      <c r="AZ8" s="343">
        <v>0.35278474147961753</v>
      </c>
      <c r="BA8" s="343">
        <v>0.37432279338306851</v>
      </c>
      <c r="BB8" s="343">
        <v>0.3970475608104409</v>
      </c>
      <c r="BC8" s="343">
        <v>0.42084908200212051</v>
      </c>
      <c r="BD8" s="343">
        <v>0.44558809848157299</v>
      </c>
      <c r="BE8" s="343">
        <v>0.47109777741320591</v>
      </c>
      <c r="BF8" s="343">
        <v>0.49734979681996871</v>
      </c>
      <c r="BG8" s="343">
        <v>0.52438968727995305</v>
      </c>
      <c r="BH8" s="343">
        <v>0.55224235732370131</v>
      </c>
      <c r="BI8" s="343">
        <v>0.58092362614328419</v>
      </c>
      <c r="BJ8" s="343">
        <v>0.61044904268060751</v>
      </c>
    </row>
    <row r="9" spans="1:62" x14ac:dyDescent="0.2">
      <c r="A9" s="10" t="s">
        <v>145</v>
      </c>
      <c r="B9" s="8"/>
      <c r="C9" s="64">
        <v>0.61499999999999999</v>
      </c>
      <c r="D9" s="64">
        <v>1.8839999999999999</v>
      </c>
      <c r="E9" s="64">
        <v>3.956</v>
      </c>
      <c r="F9" s="102">
        <v>6.5549999999999997</v>
      </c>
      <c r="G9" s="102">
        <v>9.8550000000000004</v>
      </c>
      <c r="H9" s="102">
        <v>12.973000000000001</v>
      </c>
      <c r="I9" s="102">
        <v>14.212</v>
      </c>
      <c r="J9" s="102">
        <v>13.688000000000001</v>
      </c>
      <c r="K9" s="102">
        <v>15.656000000000001</v>
      </c>
      <c r="L9" s="102">
        <v>18.652000000000001</v>
      </c>
      <c r="M9" s="102">
        <v>18.702999999999999</v>
      </c>
      <c r="N9" s="344">
        <v>21.752000000000002</v>
      </c>
      <c r="O9" s="344">
        <v>23.283000000000001</v>
      </c>
      <c r="P9" s="344">
        <v>24.918000000000003</v>
      </c>
      <c r="Q9" s="344">
        <v>26.679000000000002</v>
      </c>
      <c r="R9" s="344">
        <v>28.577000000000002</v>
      </c>
      <c r="S9" s="343">
        <v>30.226203830818445</v>
      </c>
      <c r="T9" s="343">
        <v>31.99406220157055</v>
      </c>
      <c r="U9" s="343">
        <v>33.890169059946139</v>
      </c>
      <c r="V9" s="343">
        <v>38.676424253140311</v>
      </c>
      <c r="W9" s="343">
        <v>43.632872607207361</v>
      </c>
      <c r="X9" s="343">
        <v>48.746597921199651</v>
      </c>
      <c r="Y9" s="343">
        <v>53.968485075827402</v>
      </c>
      <c r="Z9" s="343">
        <v>59.284510291961503</v>
      </c>
      <c r="AA9" s="343">
        <v>64.64173319444852</v>
      </c>
      <c r="AB9" s="343">
        <v>70.005611604233735</v>
      </c>
      <c r="AC9" s="343">
        <v>75.368544583990683</v>
      </c>
      <c r="AD9" s="343">
        <v>80.746771553619539</v>
      </c>
      <c r="AE9" s="343">
        <v>86.17815901004856</v>
      </c>
      <c r="AF9" s="343">
        <v>91.680385077970342</v>
      </c>
      <c r="AG9" s="343">
        <v>97.268275443477947</v>
      </c>
      <c r="AH9" s="343">
        <v>102.93194433173953</v>
      </c>
      <c r="AI9" s="343">
        <v>108.65772507033566</v>
      </c>
      <c r="AJ9" s="343">
        <v>114.47229657041702</v>
      </c>
      <c r="AK9" s="343">
        <v>120.35046304226819</v>
      </c>
      <c r="AL9" s="343">
        <v>126.33033634089382</v>
      </c>
      <c r="AM9" s="343">
        <v>132.51020264525386</v>
      </c>
      <c r="AN9" s="343">
        <v>138.99468448827508</v>
      </c>
      <c r="AO9" s="343">
        <v>145.89514925153489</v>
      </c>
      <c r="AP9" s="343">
        <v>153.33941999170531</v>
      </c>
      <c r="AQ9" s="343">
        <v>161.40584300190241</v>
      </c>
      <c r="AR9" s="343">
        <v>170.19739809623445</v>
      </c>
      <c r="AS9" s="343">
        <v>179.74331206209672</v>
      </c>
      <c r="AT9" s="343">
        <v>190.08397188823815</v>
      </c>
      <c r="AU9" s="343">
        <v>201.25515358433009</v>
      </c>
      <c r="AV9" s="343">
        <v>213.26917292495037</v>
      </c>
      <c r="AW9" s="343">
        <v>226.12161833591091</v>
      </c>
      <c r="AX9" s="343">
        <v>239.85108182070047</v>
      </c>
      <c r="AY9" s="343">
        <v>254.48833668496044</v>
      </c>
      <c r="AZ9" s="343">
        <v>270.03625081762476</v>
      </c>
      <c r="BA9" s="343">
        <v>286.51024499155039</v>
      </c>
      <c r="BB9" s="343">
        <v>303.81542217126957</v>
      </c>
      <c r="BC9" s="343">
        <v>321.88477944815634</v>
      </c>
      <c r="BD9" s="343">
        <v>340.57484770096801</v>
      </c>
      <c r="BE9" s="343">
        <v>359.78341123092326</v>
      </c>
      <c r="BF9" s="343">
        <v>379.57893926004476</v>
      </c>
      <c r="BG9" s="343">
        <v>399.95701513946142</v>
      </c>
      <c r="BH9" s="343">
        <v>420.96137880235335</v>
      </c>
      <c r="BI9" s="343">
        <v>442.56850471714694</v>
      </c>
      <c r="BJ9" s="343">
        <v>464.82858933894289</v>
      </c>
    </row>
    <row r="10" spans="1:62" x14ac:dyDescent="0.2">
      <c r="A10" s="43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45"/>
      <c r="O10" s="45"/>
      <c r="P10" s="45"/>
      <c r="Q10" s="45"/>
      <c r="R10" s="45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1:62" x14ac:dyDescent="0.2">
      <c r="A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2" ht="18.75" x14ac:dyDescent="0.3">
      <c r="A12" s="11" t="s">
        <v>502</v>
      </c>
      <c r="B12" s="3"/>
      <c r="C12" s="3"/>
      <c r="D12" s="3"/>
      <c r="E12" s="15" t="s">
        <v>519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4"/>
    </row>
    <row r="13" spans="1:62" x14ac:dyDescent="0.2">
      <c r="A13" s="3"/>
      <c r="B13" s="3"/>
      <c r="C13" s="3"/>
      <c r="D13" s="3"/>
      <c r="E13" s="3"/>
      <c r="F13" s="4"/>
      <c r="G13" s="4"/>
      <c r="H13" s="66" t="s">
        <v>442</v>
      </c>
      <c r="I13" s="66" t="s">
        <v>443</v>
      </c>
      <c r="J13" s="66" t="s">
        <v>444</v>
      </c>
      <c r="K13" s="66" t="s">
        <v>445</v>
      </c>
      <c r="L13" s="66" t="s">
        <v>446</v>
      </c>
      <c r="M13" s="146" t="s">
        <v>447</v>
      </c>
      <c r="N13" s="146" t="s">
        <v>448</v>
      </c>
      <c r="O13" s="146" t="s">
        <v>449</v>
      </c>
      <c r="P13" s="146" t="s">
        <v>450</v>
      </c>
      <c r="Q13" s="146" t="s">
        <v>451</v>
      </c>
      <c r="R13" s="12" t="s">
        <v>452</v>
      </c>
      <c r="S13" s="12" t="s">
        <v>453</v>
      </c>
      <c r="T13" s="12" t="s">
        <v>454</v>
      </c>
      <c r="U13" s="12" t="s">
        <v>455</v>
      </c>
      <c r="V13" s="12" t="s">
        <v>456</v>
      </c>
      <c r="W13" s="12" t="s">
        <v>457</v>
      </c>
      <c r="X13" s="12" t="s">
        <v>458</v>
      </c>
      <c r="Y13" s="12" t="s">
        <v>459</v>
      </c>
      <c r="Z13" s="12" t="s">
        <v>460</v>
      </c>
      <c r="AA13" s="12" t="s">
        <v>461</v>
      </c>
      <c r="AB13" s="12" t="s">
        <v>462</v>
      </c>
      <c r="AC13" s="12" t="s">
        <v>463</v>
      </c>
      <c r="AD13" s="12" t="s">
        <v>464</v>
      </c>
      <c r="AE13" s="12" t="s">
        <v>465</v>
      </c>
      <c r="AF13" s="12" t="s">
        <v>466</v>
      </c>
      <c r="AG13" s="12" t="s">
        <v>467</v>
      </c>
      <c r="AH13" s="12" t="s">
        <v>468</v>
      </c>
      <c r="AI13" s="12" t="s">
        <v>469</v>
      </c>
      <c r="AJ13" s="12" t="s">
        <v>470</v>
      </c>
      <c r="AK13" s="12" t="s">
        <v>471</v>
      </c>
      <c r="AL13" s="12" t="s">
        <v>472</v>
      </c>
      <c r="AM13" s="12" t="s">
        <v>473</v>
      </c>
      <c r="AN13" s="12" t="s">
        <v>474</v>
      </c>
      <c r="AO13" s="12" t="s">
        <v>475</v>
      </c>
      <c r="AP13" s="12" t="s">
        <v>476</v>
      </c>
      <c r="AQ13" s="12" t="s">
        <v>477</v>
      </c>
      <c r="AR13" s="12" t="s">
        <v>478</v>
      </c>
      <c r="AS13" s="12" t="s">
        <v>479</v>
      </c>
      <c r="AT13" s="12" t="s">
        <v>480</v>
      </c>
      <c r="AU13" s="12" t="s">
        <v>481</v>
      </c>
      <c r="AV13" s="12" t="s">
        <v>482</v>
      </c>
      <c r="AW13" s="12" t="s">
        <v>483</v>
      </c>
      <c r="AX13" s="12" t="s">
        <v>484</v>
      </c>
      <c r="AY13" s="12" t="s">
        <v>485</v>
      </c>
      <c r="AZ13" s="12" t="s">
        <v>486</v>
      </c>
      <c r="BA13" s="12" t="s">
        <v>487</v>
      </c>
      <c r="BB13" s="12" t="s">
        <v>488</v>
      </c>
      <c r="BC13" s="12" t="s">
        <v>489</v>
      </c>
      <c r="BD13" s="12" t="s">
        <v>491</v>
      </c>
      <c r="BE13" s="12" t="s">
        <v>492</v>
      </c>
      <c r="BF13" s="12" t="s">
        <v>493</v>
      </c>
      <c r="BG13" s="12" t="s">
        <v>494</v>
      </c>
      <c r="BH13" s="12" t="s">
        <v>495</v>
      </c>
      <c r="BI13" s="12" t="s">
        <v>496</v>
      </c>
      <c r="BJ13" s="12" t="s">
        <v>497</v>
      </c>
    </row>
    <row r="14" spans="1:62" x14ac:dyDescent="0.2">
      <c r="A14" s="13" t="s">
        <v>518</v>
      </c>
      <c r="B14" s="3"/>
      <c r="C14" s="67"/>
      <c r="D14" s="67"/>
      <c r="E14" s="3"/>
      <c r="F14" s="4"/>
      <c r="G14" s="4"/>
      <c r="H14" s="67">
        <v>0.64500000000000002</v>
      </c>
      <c r="I14" s="67">
        <v>0.69</v>
      </c>
      <c r="J14" s="67">
        <v>0.65500000000000003</v>
      </c>
      <c r="K14" s="67">
        <v>0.32800000000000001</v>
      </c>
      <c r="L14" s="67">
        <v>0.30499999999999999</v>
      </c>
      <c r="M14" s="231">
        <v>0.14099999999999999</v>
      </c>
      <c r="N14" s="231">
        <v>0.49199999999999999</v>
      </c>
      <c r="O14" s="231">
        <v>0.30099999999999999</v>
      </c>
      <c r="P14" s="231">
        <v>0.36199999999999999</v>
      </c>
      <c r="Q14" s="231">
        <v>0.40600000000000003</v>
      </c>
      <c r="R14" s="4">
        <v>0.433</v>
      </c>
      <c r="S14" s="4">
        <v>0.44800000000000001</v>
      </c>
      <c r="T14" s="4">
        <v>0.45</v>
      </c>
      <c r="U14" s="4">
        <v>0.44</v>
      </c>
      <c r="V14" s="4">
        <v>0.42799999999999999</v>
      </c>
      <c r="W14" s="4">
        <v>0.41299999999999998</v>
      </c>
      <c r="X14" s="4">
        <v>0.40600000000000003</v>
      </c>
      <c r="Y14" s="4">
        <v>0.40899999999999997</v>
      </c>
      <c r="Z14" s="4">
        <v>0.41099999999999998</v>
      </c>
      <c r="AA14" s="4">
        <v>0.41299999999999998</v>
      </c>
      <c r="AB14" s="4">
        <v>0.41399999999999998</v>
      </c>
      <c r="AC14" s="4">
        <v>0.40899999999999997</v>
      </c>
      <c r="AD14" s="4">
        <v>0.39300000000000002</v>
      </c>
      <c r="AE14" s="4">
        <v>0.378</v>
      </c>
      <c r="AF14" s="4">
        <v>0.36099999999999999</v>
      </c>
      <c r="AG14" s="4">
        <v>0.34399999999999997</v>
      </c>
      <c r="AH14" s="4">
        <v>0.32700000000000001</v>
      </c>
      <c r="AI14" s="4">
        <v>0.31</v>
      </c>
      <c r="AJ14" s="4">
        <v>0.29199999999999998</v>
      </c>
      <c r="AK14" s="4">
        <v>0.27600000000000002</v>
      </c>
      <c r="AL14" s="4">
        <v>0.26</v>
      </c>
      <c r="AM14" s="4">
        <v>0.24299999999999999</v>
      </c>
      <c r="AN14" s="4">
        <v>0.22600000000000001</v>
      </c>
      <c r="AO14" s="4">
        <v>0.21099999999999999</v>
      </c>
      <c r="AP14" s="4">
        <v>0.19600000000000001</v>
      </c>
      <c r="AQ14" s="4">
        <v>0.18099999999999999</v>
      </c>
      <c r="AR14" s="4">
        <v>0.16700000000000001</v>
      </c>
      <c r="AS14" s="4">
        <v>0.152</v>
      </c>
      <c r="AT14" s="4">
        <v>0.14000000000000001</v>
      </c>
      <c r="AU14" s="4">
        <v>0.127</v>
      </c>
      <c r="AV14" s="4">
        <v>0.115</v>
      </c>
      <c r="AW14" s="4">
        <v>0.104</v>
      </c>
      <c r="AX14" s="4">
        <v>9.4E-2</v>
      </c>
      <c r="AY14" s="4">
        <v>8.4000000000000005E-2</v>
      </c>
      <c r="AZ14" s="4">
        <v>7.4999999999999997E-2</v>
      </c>
      <c r="BA14" s="4">
        <v>6.7000000000000004E-2</v>
      </c>
      <c r="BB14" s="4">
        <v>0.06</v>
      </c>
      <c r="BC14" s="4">
        <v>5.2999999999999999E-2</v>
      </c>
      <c r="BD14" s="4">
        <v>4.5999999999999999E-2</v>
      </c>
      <c r="BE14" s="4">
        <v>0.04</v>
      </c>
      <c r="BF14" s="4">
        <v>3.5000000000000003E-2</v>
      </c>
      <c r="BG14" s="4">
        <v>3.1E-2</v>
      </c>
      <c r="BH14" s="4">
        <v>2.5999999999999999E-2</v>
      </c>
      <c r="BI14" s="4">
        <v>2.3E-2</v>
      </c>
      <c r="BJ14" s="4">
        <v>1.9E-2</v>
      </c>
    </row>
    <row r="15" spans="1:62" x14ac:dyDescent="0.2">
      <c r="A15" s="13" t="s">
        <v>490</v>
      </c>
      <c r="B15" s="3"/>
      <c r="C15" s="67"/>
      <c r="D15" s="67"/>
      <c r="E15" s="3"/>
      <c r="F15" s="4"/>
      <c r="G15" s="4"/>
      <c r="H15" s="67">
        <v>11.167</v>
      </c>
      <c r="I15" s="67">
        <v>11.831</v>
      </c>
      <c r="J15" s="67">
        <v>11.792</v>
      </c>
      <c r="K15" s="67">
        <v>12.881</v>
      </c>
      <c r="L15" s="67">
        <v>13.311</v>
      </c>
      <c r="M15" s="231">
        <v>14.96</v>
      </c>
      <c r="N15" s="231">
        <v>14.605</v>
      </c>
      <c r="O15" s="231">
        <v>14.288</v>
      </c>
      <c r="P15" s="231">
        <v>14.006</v>
      </c>
      <c r="Q15" s="231">
        <v>13.744999999999999</v>
      </c>
      <c r="R15" s="4">
        <v>13.493</v>
      </c>
      <c r="S15" s="4">
        <v>13.244999999999999</v>
      </c>
      <c r="T15" s="4">
        <v>12.984999999999999</v>
      </c>
      <c r="U15" s="4">
        <v>12.689</v>
      </c>
      <c r="V15" s="4">
        <v>12.366</v>
      </c>
      <c r="W15" s="4">
        <v>12.019</v>
      </c>
      <c r="X15" s="4">
        <v>11.656000000000001</v>
      </c>
      <c r="Y15" s="4">
        <v>11.29</v>
      </c>
      <c r="Z15" s="4">
        <v>10.92</v>
      </c>
      <c r="AA15" s="4">
        <v>10.553000000000001</v>
      </c>
      <c r="AB15" s="4">
        <v>10.186999999999999</v>
      </c>
      <c r="AC15" s="4">
        <v>9.8190000000000008</v>
      </c>
      <c r="AD15" s="4">
        <v>9.44</v>
      </c>
      <c r="AE15" s="4">
        <v>9.0530000000000008</v>
      </c>
      <c r="AF15" s="4">
        <v>8.6560000000000006</v>
      </c>
      <c r="AG15" s="4">
        <v>8.2539999999999996</v>
      </c>
      <c r="AH15" s="4">
        <v>7.843</v>
      </c>
      <c r="AI15" s="4">
        <v>7.4290000000000003</v>
      </c>
      <c r="AJ15" s="4">
        <v>7.0140000000000002</v>
      </c>
      <c r="AK15" s="4">
        <v>6.6130000000000004</v>
      </c>
      <c r="AL15" s="4">
        <v>6.2169999999999996</v>
      </c>
      <c r="AM15" s="4">
        <v>5.827</v>
      </c>
      <c r="AN15" s="4">
        <v>5.444</v>
      </c>
      <c r="AO15" s="4">
        <v>5.0709999999999997</v>
      </c>
      <c r="AP15" s="4">
        <v>4.7069999999999999</v>
      </c>
      <c r="AQ15" s="4">
        <v>4.3550000000000004</v>
      </c>
      <c r="AR15" s="4">
        <v>4.016</v>
      </c>
      <c r="AS15" s="4">
        <v>3.6909999999999998</v>
      </c>
      <c r="AT15" s="4">
        <v>3.379</v>
      </c>
      <c r="AU15" s="4">
        <v>3.0830000000000002</v>
      </c>
      <c r="AV15" s="4">
        <v>2.8010000000000002</v>
      </c>
      <c r="AW15" s="4">
        <v>2.536</v>
      </c>
      <c r="AX15" s="4">
        <v>2.2869999999999999</v>
      </c>
      <c r="AY15" s="4">
        <v>2.0539999999999998</v>
      </c>
      <c r="AZ15" s="4">
        <v>1.8380000000000001</v>
      </c>
      <c r="BA15" s="4">
        <v>1.637</v>
      </c>
      <c r="BB15" s="4">
        <v>1.452</v>
      </c>
      <c r="BC15" s="4">
        <v>1.282</v>
      </c>
      <c r="BD15" s="4">
        <v>1.1259999999999999</v>
      </c>
      <c r="BE15" s="4">
        <v>0.98399999999999999</v>
      </c>
      <c r="BF15" s="4">
        <v>0.85599999999999998</v>
      </c>
      <c r="BG15" s="4">
        <v>0.74099999999999999</v>
      </c>
      <c r="BH15" s="4">
        <v>0.63900000000000001</v>
      </c>
      <c r="BI15" s="4">
        <v>0.54800000000000004</v>
      </c>
      <c r="BJ15" s="4">
        <v>0.46800000000000003</v>
      </c>
    </row>
    <row r="16" spans="1:62" x14ac:dyDescent="0.2">
      <c r="A16" s="13" t="s">
        <v>379</v>
      </c>
      <c r="B16" s="3"/>
      <c r="C16" s="67"/>
      <c r="D16" s="67"/>
      <c r="E16" s="3"/>
      <c r="F16" s="4"/>
      <c r="G16" s="4"/>
      <c r="H16" s="67">
        <v>4.0069999999999997</v>
      </c>
      <c r="I16" s="67">
        <v>3.5739999999999998</v>
      </c>
      <c r="J16" s="67">
        <v>2.8039999999999998</v>
      </c>
      <c r="K16" s="67">
        <v>2.9449999999999998</v>
      </c>
      <c r="L16" s="67">
        <v>3.1589999999999998</v>
      </c>
      <c r="M16" s="231">
        <v>3.0779999999999998</v>
      </c>
      <c r="N16" s="231">
        <v>3.1280000000000001</v>
      </c>
      <c r="O16" s="231">
        <v>3.1720000000000002</v>
      </c>
      <c r="P16" s="231">
        <v>3.2109999999999999</v>
      </c>
      <c r="Q16" s="231">
        <v>3.2450000000000001</v>
      </c>
      <c r="R16" s="4">
        <v>3.2749999999999999</v>
      </c>
      <c r="S16" s="4">
        <v>3.2650000000000001</v>
      </c>
      <c r="T16" s="4">
        <v>3.246</v>
      </c>
      <c r="U16" s="4">
        <v>3.2149999999999999</v>
      </c>
      <c r="V16" s="4">
        <v>3.1739999999999999</v>
      </c>
      <c r="W16" s="4">
        <v>3.1240000000000001</v>
      </c>
      <c r="X16" s="4">
        <v>3.0649999999999999</v>
      </c>
      <c r="Y16" s="4">
        <v>2.9990000000000001</v>
      </c>
      <c r="Z16" s="4">
        <v>2.9239999999999999</v>
      </c>
      <c r="AA16" s="4">
        <v>2.843</v>
      </c>
      <c r="AB16" s="4">
        <v>2.7570000000000001</v>
      </c>
      <c r="AC16" s="4">
        <v>2.6659999999999999</v>
      </c>
      <c r="AD16" s="4">
        <v>2.5710000000000002</v>
      </c>
      <c r="AE16" s="4">
        <v>2.4729999999999999</v>
      </c>
      <c r="AF16" s="4">
        <v>2.371</v>
      </c>
      <c r="AG16" s="4">
        <v>2.2669999999999999</v>
      </c>
      <c r="AH16" s="4">
        <v>2.16</v>
      </c>
      <c r="AI16" s="4">
        <v>2.052</v>
      </c>
      <c r="AJ16" s="4">
        <v>1.9419999999999999</v>
      </c>
      <c r="AK16" s="4">
        <v>1.8360000000000001</v>
      </c>
      <c r="AL16" s="4">
        <v>1.73</v>
      </c>
      <c r="AM16" s="4">
        <v>1.6259999999999999</v>
      </c>
      <c r="AN16" s="4">
        <v>1.5229999999999999</v>
      </c>
      <c r="AO16" s="4">
        <v>1.4219999999999999</v>
      </c>
      <c r="AP16" s="4">
        <v>1.323</v>
      </c>
      <c r="AQ16" s="4">
        <v>1.228</v>
      </c>
      <c r="AR16" s="4">
        <v>1.135</v>
      </c>
      <c r="AS16" s="4">
        <v>1.046</v>
      </c>
      <c r="AT16" s="4">
        <v>0.96</v>
      </c>
      <c r="AU16" s="4">
        <v>0.878</v>
      </c>
      <c r="AV16" s="4">
        <v>0.8</v>
      </c>
      <c r="AW16" s="4">
        <v>0.72599999999999998</v>
      </c>
      <c r="AX16" s="4">
        <v>0.65600000000000003</v>
      </c>
      <c r="AY16" s="4">
        <v>0.59099999999999997</v>
      </c>
      <c r="AZ16" s="4">
        <v>0.53</v>
      </c>
      <c r="BA16" s="4">
        <v>0.47299999999999998</v>
      </c>
      <c r="BB16" s="4">
        <v>0.42099999999999999</v>
      </c>
      <c r="BC16" s="4">
        <v>0.373</v>
      </c>
      <c r="BD16" s="4">
        <v>0.32800000000000001</v>
      </c>
      <c r="BE16" s="4">
        <v>0.28799999999999998</v>
      </c>
      <c r="BF16" s="4">
        <v>0.251</v>
      </c>
      <c r="BG16" s="4">
        <v>0.218</v>
      </c>
      <c r="BH16" s="4">
        <v>0.188</v>
      </c>
      <c r="BI16" s="4">
        <v>0.16200000000000001</v>
      </c>
      <c r="BJ16" s="4">
        <v>0.13900000000000001</v>
      </c>
    </row>
    <row r="17" spans="1:91" x14ac:dyDescent="0.2">
      <c r="A17" s="13" t="s">
        <v>816</v>
      </c>
      <c r="B17" s="3"/>
      <c r="C17" s="67"/>
      <c r="D17" s="67"/>
      <c r="E17" s="3"/>
      <c r="F17" s="4"/>
      <c r="G17" s="4"/>
      <c r="H17" s="67">
        <f t="shared" ref="H17:BJ17" si="0">H15-H16</f>
        <v>7.16</v>
      </c>
      <c r="I17" s="67">
        <f t="shared" si="0"/>
        <v>8.2569999999999997</v>
      </c>
      <c r="J17" s="67">
        <f t="shared" si="0"/>
        <v>8.9879999999999995</v>
      </c>
      <c r="K17" s="67">
        <f t="shared" si="0"/>
        <v>9.9359999999999999</v>
      </c>
      <c r="L17" s="67">
        <f t="shared" si="0"/>
        <v>10.152000000000001</v>
      </c>
      <c r="M17" s="231">
        <f t="shared" si="0"/>
        <v>11.882000000000001</v>
      </c>
      <c r="N17" s="231">
        <f t="shared" si="0"/>
        <v>11.477</v>
      </c>
      <c r="O17" s="231">
        <f t="shared" si="0"/>
        <v>11.116</v>
      </c>
      <c r="P17" s="231">
        <f t="shared" si="0"/>
        <v>10.795</v>
      </c>
      <c r="Q17" s="231">
        <f t="shared" si="0"/>
        <v>10.5</v>
      </c>
      <c r="R17" s="4">
        <f t="shared" si="0"/>
        <v>10.218</v>
      </c>
      <c r="S17" s="4">
        <f t="shared" si="0"/>
        <v>9.9799999999999986</v>
      </c>
      <c r="T17" s="4">
        <f t="shared" si="0"/>
        <v>9.738999999999999</v>
      </c>
      <c r="U17" s="4">
        <f t="shared" si="0"/>
        <v>9.4740000000000002</v>
      </c>
      <c r="V17" s="4">
        <f t="shared" si="0"/>
        <v>9.1920000000000002</v>
      </c>
      <c r="W17" s="4">
        <f t="shared" si="0"/>
        <v>8.8949999999999996</v>
      </c>
      <c r="X17" s="4">
        <f t="shared" si="0"/>
        <v>8.5910000000000011</v>
      </c>
      <c r="Y17" s="4">
        <f t="shared" si="0"/>
        <v>8.2909999999999986</v>
      </c>
      <c r="Z17" s="4">
        <f t="shared" si="0"/>
        <v>7.9960000000000004</v>
      </c>
      <c r="AA17" s="4">
        <f t="shared" si="0"/>
        <v>7.7100000000000009</v>
      </c>
      <c r="AB17" s="4">
        <f t="shared" si="0"/>
        <v>7.43</v>
      </c>
      <c r="AC17" s="4">
        <f t="shared" si="0"/>
        <v>7.1530000000000005</v>
      </c>
      <c r="AD17" s="4">
        <f t="shared" si="0"/>
        <v>6.8689999999999998</v>
      </c>
      <c r="AE17" s="4">
        <f t="shared" si="0"/>
        <v>6.580000000000001</v>
      </c>
      <c r="AF17" s="4">
        <f t="shared" si="0"/>
        <v>6.2850000000000001</v>
      </c>
      <c r="AG17" s="4">
        <f t="shared" si="0"/>
        <v>5.9870000000000001</v>
      </c>
      <c r="AH17" s="4">
        <f t="shared" si="0"/>
        <v>5.6829999999999998</v>
      </c>
      <c r="AI17" s="4">
        <f t="shared" si="0"/>
        <v>5.3770000000000007</v>
      </c>
      <c r="AJ17" s="4">
        <f t="shared" si="0"/>
        <v>5.0720000000000001</v>
      </c>
      <c r="AK17" s="4">
        <f t="shared" si="0"/>
        <v>4.7770000000000001</v>
      </c>
      <c r="AL17" s="4">
        <f t="shared" si="0"/>
        <v>4.4870000000000001</v>
      </c>
      <c r="AM17" s="4">
        <f t="shared" si="0"/>
        <v>4.2010000000000005</v>
      </c>
      <c r="AN17" s="4">
        <f t="shared" si="0"/>
        <v>3.9210000000000003</v>
      </c>
      <c r="AO17" s="4">
        <f t="shared" si="0"/>
        <v>3.649</v>
      </c>
      <c r="AP17" s="4">
        <f t="shared" si="0"/>
        <v>3.3839999999999999</v>
      </c>
      <c r="AQ17" s="4">
        <f t="shared" si="0"/>
        <v>3.1270000000000007</v>
      </c>
      <c r="AR17" s="4">
        <f t="shared" si="0"/>
        <v>2.8810000000000002</v>
      </c>
      <c r="AS17" s="4">
        <f t="shared" si="0"/>
        <v>2.6449999999999996</v>
      </c>
      <c r="AT17" s="4">
        <f t="shared" si="0"/>
        <v>2.419</v>
      </c>
      <c r="AU17" s="4">
        <f t="shared" si="0"/>
        <v>2.2050000000000001</v>
      </c>
      <c r="AV17" s="4">
        <f t="shared" si="0"/>
        <v>2.0010000000000003</v>
      </c>
      <c r="AW17" s="4">
        <f t="shared" si="0"/>
        <v>1.81</v>
      </c>
      <c r="AX17" s="4">
        <f t="shared" si="0"/>
        <v>1.6309999999999998</v>
      </c>
      <c r="AY17" s="4">
        <f t="shared" si="0"/>
        <v>1.4629999999999999</v>
      </c>
      <c r="AZ17" s="4">
        <f t="shared" si="0"/>
        <v>1.3080000000000001</v>
      </c>
      <c r="BA17" s="4">
        <f t="shared" si="0"/>
        <v>1.1640000000000001</v>
      </c>
      <c r="BB17" s="4">
        <f t="shared" si="0"/>
        <v>1.0309999999999999</v>
      </c>
      <c r="BC17" s="4">
        <f t="shared" si="0"/>
        <v>0.90900000000000003</v>
      </c>
      <c r="BD17" s="4">
        <f t="shared" si="0"/>
        <v>0.79799999999999982</v>
      </c>
      <c r="BE17" s="4">
        <f t="shared" si="0"/>
        <v>0.69599999999999995</v>
      </c>
      <c r="BF17" s="4">
        <f t="shared" si="0"/>
        <v>0.60499999999999998</v>
      </c>
      <c r="BG17" s="4">
        <f t="shared" si="0"/>
        <v>0.52300000000000002</v>
      </c>
      <c r="BH17" s="4">
        <f t="shared" si="0"/>
        <v>0.45100000000000001</v>
      </c>
      <c r="BI17" s="4">
        <f t="shared" si="0"/>
        <v>0.38600000000000001</v>
      </c>
      <c r="BJ17" s="4">
        <f t="shared" si="0"/>
        <v>0.32900000000000001</v>
      </c>
    </row>
    <row r="18" spans="1:91" x14ac:dyDescent="0.2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91" ht="18.75" x14ac:dyDescent="0.3">
      <c r="A19" s="346" t="s">
        <v>3</v>
      </c>
      <c r="B19" s="347"/>
      <c r="C19" s="347"/>
      <c r="D19" s="347"/>
      <c r="E19" s="393" t="s">
        <v>519</v>
      </c>
      <c r="F19" s="349"/>
      <c r="G19" s="349"/>
      <c r="H19" s="353" t="s">
        <v>442</v>
      </c>
      <c r="I19" s="353" t="s">
        <v>443</v>
      </c>
      <c r="J19" s="353" t="s">
        <v>444</v>
      </c>
      <c r="K19" s="353" t="s">
        <v>445</v>
      </c>
      <c r="L19" s="353" t="s">
        <v>446</v>
      </c>
      <c r="M19" s="353" t="s">
        <v>447</v>
      </c>
      <c r="N19" s="352" t="s">
        <v>448</v>
      </c>
      <c r="O19" s="352" t="s">
        <v>449</v>
      </c>
      <c r="P19" s="352" t="s">
        <v>450</v>
      </c>
      <c r="Q19" s="352" t="s">
        <v>451</v>
      </c>
      <c r="R19" s="352" t="s">
        <v>452</v>
      </c>
      <c r="S19" s="351" t="s">
        <v>453</v>
      </c>
      <c r="T19" s="351" t="s">
        <v>454</v>
      </c>
      <c r="U19" s="351" t="s">
        <v>455</v>
      </c>
      <c r="V19" s="351" t="s">
        <v>456</v>
      </c>
      <c r="W19" s="351" t="s">
        <v>457</v>
      </c>
      <c r="X19" s="351" t="s">
        <v>458</v>
      </c>
      <c r="Y19" s="351" t="s">
        <v>459</v>
      </c>
      <c r="Z19" s="351" t="s">
        <v>460</v>
      </c>
      <c r="AA19" s="351" t="s">
        <v>461</v>
      </c>
      <c r="AB19" s="351" t="s">
        <v>462</v>
      </c>
      <c r="AC19" s="351" t="s">
        <v>463</v>
      </c>
      <c r="AD19" s="351" t="s">
        <v>464</v>
      </c>
      <c r="AE19" s="351" t="s">
        <v>465</v>
      </c>
      <c r="AF19" s="351" t="s">
        <v>466</v>
      </c>
      <c r="AG19" s="351" t="s">
        <v>467</v>
      </c>
      <c r="AH19" s="351" t="s">
        <v>468</v>
      </c>
      <c r="AI19" s="351" t="s">
        <v>469</v>
      </c>
      <c r="AJ19" s="351" t="s">
        <v>470</v>
      </c>
      <c r="AK19" s="351" t="s">
        <v>471</v>
      </c>
      <c r="AL19" s="351" t="s">
        <v>472</v>
      </c>
      <c r="AM19" s="351" t="s">
        <v>473</v>
      </c>
      <c r="AN19" s="351" t="s">
        <v>474</v>
      </c>
      <c r="AO19" s="351" t="s">
        <v>475</v>
      </c>
      <c r="AP19" s="351" t="s">
        <v>476</v>
      </c>
      <c r="AQ19" s="351" t="s">
        <v>477</v>
      </c>
      <c r="AR19" s="351" t="s">
        <v>478</v>
      </c>
      <c r="AS19" s="351" t="s">
        <v>479</v>
      </c>
      <c r="AT19" s="351" t="s">
        <v>480</v>
      </c>
      <c r="AU19" s="351" t="s">
        <v>481</v>
      </c>
      <c r="AV19" s="351" t="s">
        <v>482</v>
      </c>
      <c r="AW19" s="351" t="s">
        <v>483</v>
      </c>
      <c r="AX19" s="351" t="s">
        <v>484</v>
      </c>
      <c r="AY19" s="351" t="s">
        <v>485</v>
      </c>
      <c r="AZ19" s="351" t="s">
        <v>486</v>
      </c>
      <c r="BA19" s="351" t="s">
        <v>487</v>
      </c>
      <c r="BB19" s="351" t="s">
        <v>488</v>
      </c>
      <c r="BC19" s="351" t="s">
        <v>489</v>
      </c>
      <c r="BD19" s="351" t="s">
        <v>491</v>
      </c>
      <c r="BE19" s="351" t="s">
        <v>492</v>
      </c>
      <c r="BF19" s="351" t="s">
        <v>493</v>
      </c>
      <c r="BG19" s="351" t="s">
        <v>494</v>
      </c>
      <c r="BH19" s="351" t="s">
        <v>495</v>
      </c>
      <c r="BI19" s="351" t="s">
        <v>496</v>
      </c>
      <c r="BJ19" s="351" t="s">
        <v>497</v>
      </c>
    </row>
    <row r="20" spans="1:91" x14ac:dyDescent="0.2">
      <c r="A20" s="348" t="s">
        <v>616</v>
      </c>
      <c r="B20" s="349"/>
      <c r="C20" s="349"/>
      <c r="D20" s="349"/>
      <c r="E20" s="349"/>
      <c r="F20" s="349"/>
      <c r="G20" s="349"/>
      <c r="H20" s="419">
        <v>1.1759999999999999</v>
      </c>
      <c r="I20" s="419">
        <v>1.2010000000000001</v>
      </c>
      <c r="J20" s="419">
        <v>1.35</v>
      </c>
      <c r="K20" s="419">
        <v>1.5249999999999999</v>
      </c>
      <c r="L20" s="419">
        <v>1.5640000000000001</v>
      </c>
      <c r="M20" s="419">
        <v>1.49</v>
      </c>
      <c r="N20" s="420">
        <v>1.4570000000000001</v>
      </c>
      <c r="O20" s="420">
        <v>1.528</v>
      </c>
      <c r="P20" s="420">
        <v>1.573</v>
      </c>
      <c r="Q20" s="420">
        <v>1.621</v>
      </c>
      <c r="R20" s="420">
        <v>1.6859999999999999</v>
      </c>
      <c r="S20" s="421">
        <v>1.702</v>
      </c>
      <c r="T20" s="421">
        <v>1.7450000000000001</v>
      </c>
      <c r="U20" s="421">
        <v>1.802</v>
      </c>
      <c r="V20" s="421">
        <v>1.8440000000000001</v>
      </c>
      <c r="W20" s="421">
        <v>1.9</v>
      </c>
      <c r="X20" s="421">
        <v>1.9650000000000001</v>
      </c>
      <c r="Y20" s="421">
        <v>2.0190000000000001</v>
      </c>
      <c r="Z20" s="421">
        <v>2.0779999999999998</v>
      </c>
      <c r="AA20" s="421">
        <v>2.153</v>
      </c>
      <c r="AB20" s="421">
        <v>2.2349999999999999</v>
      </c>
      <c r="AC20" s="421">
        <v>2.3170000000000002</v>
      </c>
      <c r="AD20" s="421">
        <v>2.4009999999999998</v>
      </c>
      <c r="AE20" s="421">
        <v>2.4940000000000002</v>
      </c>
      <c r="AF20" s="421">
        <v>2.581</v>
      </c>
      <c r="AG20" s="421">
        <v>2.657</v>
      </c>
      <c r="AH20" s="421">
        <v>2.7429999999999999</v>
      </c>
      <c r="AI20" s="421">
        <v>2.8330000000000002</v>
      </c>
      <c r="AJ20" s="421">
        <v>2.907</v>
      </c>
      <c r="AK20" s="421">
        <v>3.0009999999999999</v>
      </c>
      <c r="AL20" s="421">
        <v>3.097</v>
      </c>
      <c r="AM20" s="421">
        <v>3.2050000000000001</v>
      </c>
      <c r="AN20" s="421">
        <v>3.3220000000000001</v>
      </c>
      <c r="AO20" s="421">
        <v>3.407</v>
      </c>
      <c r="AP20" s="421">
        <v>3.5089999999999999</v>
      </c>
      <c r="AQ20" s="421">
        <v>3.65</v>
      </c>
      <c r="AR20" s="421">
        <v>3.7789999999999999</v>
      </c>
      <c r="AS20" s="421">
        <v>3.9089999999999998</v>
      </c>
      <c r="AT20" s="421">
        <v>4.056</v>
      </c>
      <c r="AU20" s="421">
        <v>4.1870000000000003</v>
      </c>
      <c r="AV20" s="421">
        <v>4.3070000000000004</v>
      </c>
      <c r="AW20" s="421">
        <v>4.4569999999999999</v>
      </c>
      <c r="AX20" s="421">
        <v>4.585</v>
      </c>
      <c r="AY20" s="421">
        <v>4.7089999999999996</v>
      </c>
      <c r="AZ20" s="421">
        <v>4.8579999999999997</v>
      </c>
      <c r="BA20" s="421">
        <v>5.0289999999999999</v>
      </c>
      <c r="BB20" s="421">
        <v>5.1950000000000003</v>
      </c>
      <c r="BC20" s="421">
        <v>5.3609999999999998</v>
      </c>
      <c r="BD20" s="421">
        <v>5.5330000000000004</v>
      </c>
      <c r="BE20" s="421">
        <v>5.6589999999999998</v>
      </c>
      <c r="BF20" s="421">
        <v>5.8230000000000004</v>
      </c>
      <c r="BG20" s="421">
        <v>6.0170000000000003</v>
      </c>
      <c r="BH20" s="421">
        <v>6.2140000000000004</v>
      </c>
      <c r="BI20" s="421">
        <v>6.383</v>
      </c>
      <c r="BJ20" s="421">
        <v>6.577</v>
      </c>
    </row>
    <row r="21" spans="1:91" x14ac:dyDescent="0.2">
      <c r="A21" s="348" t="s">
        <v>541</v>
      </c>
      <c r="B21" s="349"/>
      <c r="C21" s="349"/>
      <c r="D21" s="349"/>
      <c r="E21" s="349"/>
      <c r="F21" s="349"/>
      <c r="G21" s="349"/>
      <c r="H21" s="419">
        <v>0.48799999999999999</v>
      </c>
      <c r="I21" s="419">
        <v>0.48699999999999999</v>
      </c>
      <c r="J21" s="419">
        <v>0.53200000000000003</v>
      </c>
      <c r="K21" s="419">
        <v>0.72799999999999998</v>
      </c>
      <c r="L21" s="419">
        <v>0.71299999999999997</v>
      </c>
      <c r="M21" s="419">
        <v>0.70199999999999996</v>
      </c>
      <c r="N21" s="420">
        <v>0.52800000000000002</v>
      </c>
      <c r="O21" s="420">
        <v>0.56499999999999995</v>
      </c>
      <c r="P21" s="420">
        <v>0.60599999999999998</v>
      </c>
      <c r="Q21" s="420">
        <v>0.64400000000000002</v>
      </c>
      <c r="R21" s="420">
        <v>0.69</v>
      </c>
      <c r="S21" s="421">
        <v>0.71799999999999997</v>
      </c>
      <c r="T21" s="421">
        <v>0.749</v>
      </c>
      <c r="U21" s="421">
        <v>0.78800000000000003</v>
      </c>
      <c r="V21" s="421">
        <v>0.82</v>
      </c>
      <c r="W21" s="421">
        <v>0.85899999999999999</v>
      </c>
      <c r="X21" s="421">
        <v>0.90300000000000002</v>
      </c>
      <c r="Y21" s="421">
        <v>0.93500000000000005</v>
      </c>
      <c r="Z21" s="421">
        <v>0.96899999999999997</v>
      </c>
      <c r="AA21" s="421">
        <v>1.0089999999999999</v>
      </c>
      <c r="AB21" s="421">
        <v>1.054</v>
      </c>
      <c r="AC21" s="421">
        <v>1.099</v>
      </c>
      <c r="AD21" s="421">
        <v>1.1459999999999999</v>
      </c>
      <c r="AE21" s="421">
        <v>1.2</v>
      </c>
      <c r="AF21" s="421">
        <v>1.25</v>
      </c>
      <c r="AG21" s="421">
        <v>1.296</v>
      </c>
      <c r="AH21" s="421">
        <v>1.3460000000000001</v>
      </c>
      <c r="AI21" s="421">
        <v>1.397</v>
      </c>
      <c r="AJ21" s="421">
        <v>1.4379999999999999</v>
      </c>
      <c r="AK21" s="421">
        <v>1.4890000000000001</v>
      </c>
      <c r="AL21" s="421">
        <v>1.538</v>
      </c>
      <c r="AM21" s="421">
        <v>1.593</v>
      </c>
      <c r="AN21" s="421">
        <v>1.653</v>
      </c>
      <c r="AO21" s="421">
        <v>1.696</v>
      </c>
      <c r="AP21" s="421">
        <v>1.748</v>
      </c>
      <c r="AQ21" s="421">
        <v>1.821</v>
      </c>
      <c r="AR21" s="421">
        <v>1.883</v>
      </c>
      <c r="AS21" s="421">
        <v>1.948</v>
      </c>
      <c r="AT21" s="421">
        <v>2.024</v>
      </c>
      <c r="AU21" s="421">
        <v>2.089</v>
      </c>
      <c r="AV21" s="421">
        <v>2.149</v>
      </c>
      <c r="AW21" s="421">
        <v>2.2250000000000001</v>
      </c>
      <c r="AX21" s="421">
        <v>2.2869999999999999</v>
      </c>
      <c r="AY21" s="421">
        <v>2.351</v>
      </c>
      <c r="AZ21" s="421">
        <v>2.4300000000000002</v>
      </c>
      <c r="BA21" s="421">
        <v>2.5209999999999999</v>
      </c>
      <c r="BB21" s="421">
        <v>2.6059999999999999</v>
      </c>
      <c r="BC21" s="421">
        <v>2.69</v>
      </c>
      <c r="BD21" s="421">
        <v>2.7810000000000001</v>
      </c>
      <c r="BE21" s="421">
        <v>2.8439999999999999</v>
      </c>
      <c r="BF21" s="421">
        <v>2.9260000000000002</v>
      </c>
      <c r="BG21" s="421">
        <v>3.0270000000000001</v>
      </c>
      <c r="BH21" s="421">
        <v>3.1280000000000001</v>
      </c>
      <c r="BI21" s="421">
        <v>3.2069999999999999</v>
      </c>
      <c r="BJ21" s="421">
        <v>3.3050000000000002</v>
      </c>
    </row>
    <row r="22" spans="1:91" x14ac:dyDescent="0.2">
      <c r="A22" s="348" t="s">
        <v>300</v>
      </c>
      <c r="B22" s="349"/>
      <c r="C22" s="349"/>
      <c r="D22" s="349"/>
      <c r="E22" s="349"/>
      <c r="F22" s="349"/>
      <c r="G22" s="349"/>
      <c r="H22" s="419">
        <v>0.55500000000000005</v>
      </c>
      <c r="I22" s="419">
        <v>0.629</v>
      </c>
      <c r="J22" s="419">
        <v>0.71</v>
      </c>
      <c r="K22" s="419">
        <v>0.754</v>
      </c>
      <c r="L22" s="419">
        <v>0.80200000000000005</v>
      </c>
      <c r="M22" s="419">
        <v>0.76800000000000002</v>
      </c>
      <c r="N22" s="420">
        <v>1.0409999999999999</v>
      </c>
      <c r="O22" s="420">
        <v>0.998</v>
      </c>
      <c r="P22" s="420">
        <v>1.077</v>
      </c>
      <c r="Q22" s="420">
        <v>1.1339999999999999</v>
      </c>
      <c r="R22" s="420">
        <v>1.1970000000000001</v>
      </c>
      <c r="S22" s="421">
        <v>1.2849999999999999</v>
      </c>
      <c r="T22" s="421">
        <v>1.3420000000000001</v>
      </c>
      <c r="U22" s="421">
        <v>1.397</v>
      </c>
      <c r="V22" s="421">
        <v>1.4370000000000001</v>
      </c>
      <c r="W22" s="421">
        <v>1.476</v>
      </c>
      <c r="X22" s="421">
        <v>1.52</v>
      </c>
      <c r="Y22" s="421">
        <v>1.5640000000000001</v>
      </c>
      <c r="Z22" s="421">
        <v>1.6140000000000001</v>
      </c>
      <c r="AA22" s="421">
        <v>1.653</v>
      </c>
      <c r="AB22" s="421">
        <v>1.6970000000000001</v>
      </c>
      <c r="AC22" s="421">
        <v>1.7430000000000001</v>
      </c>
      <c r="AD22" s="421">
        <v>1.798</v>
      </c>
      <c r="AE22" s="421">
        <v>1.859</v>
      </c>
      <c r="AF22" s="421">
        <v>1.921</v>
      </c>
      <c r="AG22" s="421">
        <v>1.976</v>
      </c>
      <c r="AH22" s="421">
        <v>2.0339999999999998</v>
      </c>
      <c r="AI22" s="421">
        <v>2.1019999999999999</v>
      </c>
      <c r="AJ22" s="421">
        <v>2.1760000000000002</v>
      </c>
      <c r="AK22" s="421">
        <v>2.242</v>
      </c>
      <c r="AL22" s="421">
        <v>2.319</v>
      </c>
      <c r="AM22" s="421">
        <v>2.3860000000000001</v>
      </c>
      <c r="AN22" s="421">
        <v>2.4540000000000002</v>
      </c>
      <c r="AO22" s="421">
        <v>2.5339999999999998</v>
      </c>
      <c r="AP22" s="421">
        <v>2.6110000000000002</v>
      </c>
      <c r="AQ22" s="421">
        <v>2.694</v>
      </c>
      <c r="AR22" s="421">
        <v>2.7810000000000001</v>
      </c>
      <c r="AS22" s="421">
        <v>2.8769999999999998</v>
      </c>
      <c r="AT22" s="421">
        <v>2.9630000000000001</v>
      </c>
      <c r="AU22" s="421">
        <v>3.0550000000000002</v>
      </c>
      <c r="AV22" s="421">
        <v>3.169</v>
      </c>
      <c r="AW22" s="421">
        <v>3.2719999999999998</v>
      </c>
      <c r="AX22" s="421">
        <v>3.3639999999999999</v>
      </c>
      <c r="AY22" s="421">
        <v>3.496</v>
      </c>
      <c r="AZ22" s="421">
        <v>3.617</v>
      </c>
      <c r="BA22" s="421">
        <v>3.722</v>
      </c>
      <c r="BB22" s="421">
        <v>3.84</v>
      </c>
      <c r="BC22" s="421">
        <v>3.9670000000000001</v>
      </c>
      <c r="BD22" s="421">
        <v>4.1040000000000001</v>
      </c>
      <c r="BE22" s="421">
        <v>4.2309999999999999</v>
      </c>
      <c r="BF22" s="421">
        <v>4.3730000000000002</v>
      </c>
      <c r="BG22" s="421">
        <v>4.516</v>
      </c>
      <c r="BH22" s="421">
        <v>4.6529999999999996</v>
      </c>
      <c r="BI22" s="421">
        <v>4.8010000000000002</v>
      </c>
      <c r="BJ22" s="421">
        <v>4.9370000000000003</v>
      </c>
    </row>
    <row r="23" spans="1:91" x14ac:dyDescent="0.2">
      <c r="A23" s="348" t="s">
        <v>301</v>
      </c>
      <c r="B23" s="349"/>
      <c r="C23" s="349"/>
      <c r="D23" s="349"/>
      <c r="E23" s="349"/>
      <c r="F23" s="349"/>
      <c r="G23" s="349"/>
      <c r="H23" s="419">
        <v>0.36</v>
      </c>
      <c r="I23" s="419">
        <v>0.40699999999999997</v>
      </c>
      <c r="J23" s="419">
        <v>0.46500000000000002</v>
      </c>
      <c r="K23" s="419">
        <v>0.46300000000000002</v>
      </c>
      <c r="L23" s="419">
        <v>0.48399999999999999</v>
      </c>
      <c r="M23" s="419">
        <v>0.52600000000000002</v>
      </c>
      <c r="N23" s="420">
        <v>0.58699999999999997</v>
      </c>
      <c r="O23" s="420">
        <v>0.57599999999999996</v>
      </c>
      <c r="P23" s="420">
        <v>0.59499999999999997</v>
      </c>
      <c r="Q23" s="420">
        <v>0.61199999999999999</v>
      </c>
      <c r="R23" s="420">
        <v>0.63100000000000001</v>
      </c>
      <c r="S23" s="421">
        <v>0.64800000000000002</v>
      </c>
      <c r="T23" s="421">
        <v>0.66400000000000003</v>
      </c>
      <c r="U23" s="421">
        <v>0.68100000000000005</v>
      </c>
      <c r="V23" s="421">
        <v>0.69899999999999995</v>
      </c>
      <c r="W23" s="421">
        <v>0.71899999999999997</v>
      </c>
      <c r="X23" s="421">
        <v>0.74</v>
      </c>
      <c r="Y23" s="421">
        <v>0.76300000000000001</v>
      </c>
      <c r="Z23" s="421">
        <v>0.78700000000000003</v>
      </c>
      <c r="AA23" s="421">
        <v>0.81299999999999994</v>
      </c>
      <c r="AB23" s="421">
        <v>0.84099999999999997</v>
      </c>
      <c r="AC23" s="421">
        <v>0.872</v>
      </c>
      <c r="AD23" s="421">
        <v>0.90500000000000003</v>
      </c>
      <c r="AE23" s="421">
        <v>0.93899999999999995</v>
      </c>
      <c r="AF23" s="421">
        <v>0.97499999999999998</v>
      </c>
      <c r="AG23" s="421">
        <v>1.0129999999999999</v>
      </c>
      <c r="AH23" s="421">
        <v>1.0529999999999999</v>
      </c>
      <c r="AI23" s="421">
        <v>1.0940000000000001</v>
      </c>
      <c r="AJ23" s="421">
        <v>1.135</v>
      </c>
      <c r="AK23" s="421">
        <v>1.1779999999999999</v>
      </c>
      <c r="AL23" s="421">
        <v>1.2210000000000001</v>
      </c>
      <c r="AM23" s="421">
        <v>1.2649999999999999</v>
      </c>
      <c r="AN23" s="421">
        <v>1.3120000000000001</v>
      </c>
      <c r="AO23" s="421">
        <v>1.36</v>
      </c>
      <c r="AP23" s="421">
        <v>1.4079999999999999</v>
      </c>
      <c r="AQ23" s="421">
        <v>1.4590000000000001</v>
      </c>
      <c r="AR23" s="421">
        <v>1.5109999999999999</v>
      </c>
      <c r="AS23" s="421">
        <v>1.5649999999999999</v>
      </c>
      <c r="AT23" s="421">
        <v>1.621</v>
      </c>
      <c r="AU23" s="421">
        <v>1.679</v>
      </c>
      <c r="AV23" s="421">
        <v>1.7390000000000001</v>
      </c>
      <c r="AW23" s="421">
        <v>1.8</v>
      </c>
      <c r="AX23" s="421">
        <v>1.863</v>
      </c>
      <c r="AY23" s="421">
        <v>1.9259999999999999</v>
      </c>
      <c r="AZ23" s="421">
        <v>1.99</v>
      </c>
      <c r="BA23" s="421">
        <v>2.0550000000000002</v>
      </c>
      <c r="BB23" s="421">
        <v>2.1230000000000002</v>
      </c>
      <c r="BC23" s="421">
        <v>2.1930000000000001</v>
      </c>
      <c r="BD23" s="421">
        <v>2.2650000000000001</v>
      </c>
      <c r="BE23" s="421">
        <v>2.3370000000000002</v>
      </c>
      <c r="BF23" s="421">
        <v>2.41</v>
      </c>
      <c r="BG23" s="421">
        <v>2.4849999999999999</v>
      </c>
      <c r="BH23" s="421">
        <v>2.5619999999999998</v>
      </c>
      <c r="BI23" s="421">
        <v>2.641</v>
      </c>
      <c r="BJ23" s="421">
        <v>2.7229999999999999</v>
      </c>
    </row>
    <row r="24" spans="1:91" x14ac:dyDescent="0.2">
      <c r="A24" s="348" t="s">
        <v>302</v>
      </c>
      <c r="B24" s="349"/>
      <c r="C24" s="349"/>
      <c r="D24" s="349"/>
      <c r="E24" s="349"/>
      <c r="F24" s="349"/>
      <c r="G24" s="349"/>
      <c r="H24" s="419">
        <v>0.151</v>
      </c>
      <c r="I24" s="419">
        <v>-0.23100000000000001</v>
      </c>
      <c r="J24" s="419">
        <v>0.77900000000000003</v>
      </c>
      <c r="K24" s="419">
        <v>0.28000000000000003</v>
      </c>
      <c r="L24" s="419">
        <v>-0.125</v>
      </c>
      <c r="M24" s="419">
        <v>-0.28599999999999998</v>
      </c>
      <c r="N24" s="420">
        <v>0.23200000000000001</v>
      </c>
      <c r="O24" s="420">
        <v>0</v>
      </c>
      <c r="P24" s="420">
        <v>0</v>
      </c>
      <c r="Q24" s="420">
        <v>0</v>
      </c>
      <c r="R24" s="420">
        <v>0</v>
      </c>
      <c r="S24" s="422">
        <v>0</v>
      </c>
      <c r="T24" s="422">
        <v>0</v>
      </c>
      <c r="U24" s="422">
        <v>0</v>
      </c>
      <c r="V24" s="422">
        <v>0</v>
      </c>
      <c r="W24" s="422">
        <v>0</v>
      </c>
      <c r="X24" s="422">
        <v>0</v>
      </c>
      <c r="Y24" s="422">
        <v>0</v>
      </c>
      <c r="Z24" s="422">
        <v>0</v>
      </c>
      <c r="AA24" s="422">
        <v>0</v>
      </c>
      <c r="AB24" s="422">
        <v>0</v>
      </c>
      <c r="AC24" s="422">
        <v>0</v>
      </c>
      <c r="AD24" s="422">
        <v>0</v>
      </c>
      <c r="AE24" s="422">
        <v>0</v>
      </c>
      <c r="AF24" s="422">
        <v>0</v>
      </c>
      <c r="AG24" s="422">
        <v>0</v>
      </c>
      <c r="AH24" s="422">
        <v>0</v>
      </c>
      <c r="AI24" s="422">
        <v>0</v>
      </c>
      <c r="AJ24" s="422">
        <v>0</v>
      </c>
      <c r="AK24" s="422">
        <v>0</v>
      </c>
      <c r="AL24" s="422">
        <v>0</v>
      </c>
      <c r="AM24" s="422">
        <v>0</v>
      </c>
      <c r="AN24" s="422">
        <v>0</v>
      </c>
      <c r="AO24" s="422">
        <v>0</v>
      </c>
      <c r="AP24" s="422">
        <v>0</v>
      </c>
      <c r="AQ24" s="422">
        <v>0</v>
      </c>
      <c r="AR24" s="422">
        <v>0</v>
      </c>
      <c r="AS24" s="422">
        <v>0</v>
      </c>
      <c r="AT24" s="422">
        <v>0</v>
      </c>
      <c r="AU24" s="422">
        <v>0</v>
      </c>
      <c r="AV24" s="422">
        <v>0</v>
      </c>
      <c r="AW24" s="422">
        <v>0</v>
      </c>
      <c r="AX24" s="422">
        <v>0</v>
      </c>
      <c r="AY24" s="422">
        <v>0</v>
      </c>
      <c r="AZ24" s="422">
        <v>0</v>
      </c>
      <c r="BA24" s="422">
        <v>0</v>
      </c>
      <c r="BB24" s="422">
        <v>0</v>
      </c>
      <c r="BC24" s="422">
        <v>0</v>
      </c>
      <c r="BD24" s="422">
        <v>0</v>
      </c>
      <c r="BE24" s="422">
        <v>0</v>
      </c>
      <c r="BF24" s="422">
        <v>0</v>
      </c>
      <c r="BG24" s="422">
        <v>0</v>
      </c>
      <c r="BH24" s="422">
        <v>0</v>
      </c>
      <c r="BI24" s="422">
        <v>0</v>
      </c>
      <c r="BJ24" s="422">
        <v>0</v>
      </c>
    </row>
    <row r="25" spans="1:91" x14ac:dyDescent="0.2">
      <c r="A25" s="348" t="s">
        <v>303</v>
      </c>
      <c r="B25" s="349"/>
      <c r="C25" s="349"/>
      <c r="D25" s="349"/>
      <c r="E25" s="349"/>
      <c r="F25" s="349"/>
      <c r="G25" s="349"/>
      <c r="H25" s="419">
        <v>0.1</v>
      </c>
      <c r="I25" s="419">
        <v>7.0000000000000001E-3</v>
      </c>
      <c r="J25" s="419">
        <v>1.7999999999999999E-2</v>
      </c>
      <c r="K25" s="419">
        <v>1.0999999999999999E-2</v>
      </c>
      <c r="L25" s="419">
        <v>1.2E-2</v>
      </c>
      <c r="M25" s="419">
        <v>-1E-3</v>
      </c>
      <c r="N25" s="420">
        <v>0</v>
      </c>
      <c r="O25" s="420">
        <v>0</v>
      </c>
      <c r="P25" s="420">
        <v>0</v>
      </c>
      <c r="Q25" s="420">
        <v>1E-3</v>
      </c>
      <c r="R25" s="420">
        <v>-1E-3</v>
      </c>
      <c r="S25" s="422">
        <v>0</v>
      </c>
      <c r="T25" s="422">
        <v>0</v>
      </c>
      <c r="U25" s="422">
        <v>0</v>
      </c>
      <c r="V25" s="422">
        <v>0</v>
      </c>
      <c r="W25" s="422">
        <v>-1E-3</v>
      </c>
      <c r="X25" s="422">
        <v>-1E-3</v>
      </c>
      <c r="Y25" s="422">
        <v>0</v>
      </c>
      <c r="Z25" s="422">
        <v>0</v>
      </c>
      <c r="AA25" s="422">
        <v>-1E-3</v>
      </c>
      <c r="AB25" s="422">
        <v>0</v>
      </c>
      <c r="AC25" s="422">
        <v>-1E-3</v>
      </c>
      <c r="AD25" s="422">
        <v>0</v>
      </c>
      <c r="AE25" s="422">
        <v>0</v>
      </c>
      <c r="AF25" s="422">
        <v>0</v>
      </c>
      <c r="AG25" s="422">
        <v>1E-3</v>
      </c>
      <c r="AH25" s="422">
        <v>-1E-3</v>
      </c>
      <c r="AI25" s="422">
        <v>0</v>
      </c>
      <c r="AJ25" s="422">
        <v>0</v>
      </c>
      <c r="AK25" s="422">
        <v>0</v>
      </c>
      <c r="AL25" s="422">
        <v>-1E-3</v>
      </c>
      <c r="AM25" s="422">
        <v>0</v>
      </c>
      <c r="AN25" s="422">
        <v>0</v>
      </c>
      <c r="AO25" s="422">
        <v>0</v>
      </c>
      <c r="AP25" s="422">
        <v>0</v>
      </c>
      <c r="AQ25" s="422">
        <v>-1E-3</v>
      </c>
      <c r="AR25" s="422">
        <v>0</v>
      </c>
      <c r="AS25" s="422">
        <v>-2E-3</v>
      </c>
      <c r="AT25" s="422">
        <v>1E-3</v>
      </c>
      <c r="AU25" s="422">
        <v>0</v>
      </c>
      <c r="AV25" s="422">
        <v>0</v>
      </c>
      <c r="AW25" s="422">
        <v>0</v>
      </c>
      <c r="AX25" s="422">
        <v>-1E-3</v>
      </c>
      <c r="AY25" s="422">
        <v>1E-3</v>
      </c>
      <c r="AZ25" s="422">
        <v>0</v>
      </c>
      <c r="BA25" s="422">
        <v>-1E-3</v>
      </c>
      <c r="BB25" s="422">
        <v>1E-3</v>
      </c>
      <c r="BC25" s="422">
        <v>0</v>
      </c>
      <c r="BD25" s="422">
        <v>-1E-3</v>
      </c>
      <c r="BE25" s="422">
        <v>1E-3</v>
      </c>
      <c r="BF25" s="422">
        <v>-1E-3</v>
      </c>
      <c r="BG25" s="422">
        <v>0</v>
      </c>
      <c r="BH25" s="422">
        <v>1E-3</v>
      </c>
      <c r="BI25" s="422">
        <v>0</v>
      </c>
      <c r="BJ25" s="422">
        <v>-1E-3</v>
      </c>
    </row>
    <row r="26" spans="1:91" x14ac:dyDescent="0.2">
      <c r="A26" s="350" t="s">
        <v>617</v>
      </c>
      <c r="B26" s="349"/>
      <c r="C26" s="349"/>
      <c r="D26" s="349"/>
      <c r="E26" s="349"/>
      <c r="F26" s="349"/>
      <c r="G26" s="423">
        <v>5.569</v>
      </c>
      <c r="H26" s="423">
        <v>6.0110000000000001</v>
      </c>
      <c r="I26" s="423">
        <v>6.7409999999999997</v>
      </c>
      <c r="J26" s="423">
        <v>6.5529999999999999</v>
      </c>
      <c r="K26" s="423">
        <v>6.79</v>
      </c>
      <c r="L26" s="423">
        <v>7.46</v>
      </c>
      <c r="M26" s="423">
        <v>8.2910000000000004</v>
      </c>
      <c r="N26" s="424">
        <v>8.5340000000000007</v>
      </c>
      <c r="O26" s="424">
        <v>9.0749999999999993</v>
      </c>
      <c r="P26" s="424">
        <v>9.56</v>
      </c>
      <c r="Q26" s="424">
        <v>10.016</v>
      </c>
      <c r="R26" s="424">
        <v>10.445</v>
      </c>
      <c r="S26" s="425">
        <v>10.792</v>
      </c>
      <c r="T26" s="425">
        <v>11.11</v>
      </c>
      <c r="U26" s="425">
        <v>11.407999999999999</v>
      </c>
      <c r="V26" s="425">
        <v>11.694000000000001</v>
      </c>
      <c r="W26" s="425">
        <v>11.977</v>
      </c>
      <c r="X26" s="425">
        <v>12.257999999999999</v>
      </c>
      <c r="Y26" s="425">
        <v>12.541</v>
      </c>
      <c r="Z26" s="425">
        <v>12.823</v>
      </c>
      <c r="AA26" s="425">
        <v>13.125999999999999</v>
      </c>
      <c r="AB26" s="425">
        <v>13.451000000000001</v>
      </c>
      <c r="AC26" s="425">
        <v>13.797000000000001</v>
      </c>
      <c r="AD26" s="425">
        <v>14.159000000000001</v>
      </c>
      <c r="AE26" s="425">
        <v>14.532999999999999</v>
      </c>
      <c r="AF26" s="425">
        <v>14.917999999999999</v>
      </c>
      <c r="AG26" s="425">
        <v>15.317</v>
      </c>
      <c r="AH26" s="425">
        <v>15.731999999999999</v>
      </c>
      <c r="AI26" s="425">
        <v>16.16</v>
      </c>
      <c r="AJ26" s="425">
        <v>16.588000000000001</v>
      </c>
      <c r="AK26" s="425">
        <v>17.036000000000001</v>
      </c>
      <c r="AL26" s="425">
        <v>17.495999999999999</v>
      </c>
      <c r="AM26" s="425">
        <v>17.986999999999998</v>
      </c>
      <c r="AN26" s="425">
        <v>18.513999999999999</v>
      </c>
      <c r="AO26" s="425">
        <v>19.050999999999998</v>
      </c>
      <c r="AP26" s="425">
        <v>19.609000000000002</v>
      </c>
      <c r="AQ26" s="425">
        <v>20.202000000000002</v>
      </c>
      <c r="AR26" s="425">
        <v>20.827999999999999</v>
      </c>
      <c r="AS26" s="425">
        <v>21.475000000000001</v>
      </c>
      <c r="AT26" s="425">
        <v>22.166</v>
      </c>
      <c r="AU26" s="425">
        <v>22.888000000000002</v>
      </c>
      <c r="AV26" s="425">
        <v>23.616</v>
      </c>
      <c r="AW26" s="425">
        <v>24.376000000000001</v>
      </c>
      <c r="AX26" s="425">
        <v>25.172000000000001</v>
      </c>
      <c r="AY26" s="425">
        <v>25.960999999999999</v>
      </c>
      <c r="AZ26" s="425">
        <v>26.762</v>
      </c>
      <c r="BA26" s="425">
        <v>27.602</v>
      </c>
      <c r="BB26" s="425">
        <v>28.475000000000001</v>
      </c>
      <c r="BC26" s="425">
        <v>29.372</v>
      </c>
      <c r="BD26" s="425">
        <v>30.283999999999999</v>
      </c>
      <c r="BE26" s="425">
        <v>31.206</v>
      </c>
      <c r="BF26" s="425">
        <v>32.139000000000003</v>
      </c>
      <c r="BG26" s="425">
        <v>33.097999999999999</v>
      </c>
      <c r="BH26" s="425">
        <v>34.094000000000001</v>
      </c>
      <c r="BI26" s="425">
        <v>35.11</v>
      </c>
      <c r="BJ26" s="425">
        <v>36.167000000000002</v>
      </c>
    </row>
    <row r="27" spans="1:91" x14ac:dyDescent="0.2">
      <c r="A27" s="322"/>
      <c r="B27" s="36"/>
      <c r="C27" s="36"/>
      <c r="D27" s="36"/>
      <c r="E27" s="36"/>
      <c r="F27" s="36"/>
      <c r="G27" s="3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1:91" x14ac:dyDescent="0.2">
      <c r="A28" s="32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</row>
    <row r="29" spans="1:91" ht="18.75" x14ac:dyDescent="0.3">
      <c r="A29" s="209" t="s">
        <v>165</v>
      </c>
      <c r="B29" s="210"/>
      <c r="C29" s="210"/>
      <c r="D29" s="210"/>
      <c r="E29" s="211" t="s">
        <v>519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36"/>
      <c r="BF29" s="45"/>
      <c r="BG29" s="45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</row>
    <row r="30" spans="1:91" x14ac:dyDescent="0.2">
      <c r="A30" s="210"/>
      <c r="B30" s="210"/>
      <c r="C30" s="210"/>
      <c r="D30" s="210"/>
      <c r="E30" s="210"/>
      <c r="F30" s="210"/>
      <c r="G30" s="210"/>
      <c r="H30" s="210"/>
      <c r="I30" s="212" t="s">
        <v>100</v>
      </c>
      <c r="J30" s="212" t="s">
        <v>101</v>
      </c>
      <c r="K30" s="212" t="s">
        <v>102</v>
      </c>
      <c r="L30" s="212" t="s">
        <v>103</v>
      </c>
      <c r="M30" s="212" t="s">
        <v>104</v>
      </c>
      <c r="N30" s="212" t="s">
        <v>2</v>
      </c>
      <c r="O30" s="212" t="s">
        <v>105</v>
      </c>
      <c r="P30" s="212" t="s">
        <v>106</v>
      </c>
      <c r="Q30" s="212" t="s">
        <v>107</v>
      </c>
      <c r="R30" s="212" t="s">
        <v>108</v>
      </c>
      <c r="S30" s="212" t="s">
        <v>110</v>
      </c>
      <c r="T30" s="212" t="s">
        <v>111</v>
      </c>
      <c r="U30" s="212" t="s">
        <v>815</v>
      </c>
      <c r="V30" s="212" t="s">
        <v>903</v>
      </c>
      <c r="W30" s="212" t="s">
        <v>969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36"/>
      <c r="BF30" s="45"/>
      <c r="BG30" s="45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</row>
    <row r="31" spans="1:91" x14ac:dyDescent="0.2">
      <c r="A31" s="210"/>
      <c r="B31" s="210"/>
      <c r="C31" s="210"/>
      <c r="D31" s="210"/>
      <c r="E31" s="210"/>
      <c r="F31" s="210"/>
      <c r="G31" s="321" t="s">
        <v>109</v>
      </c>
      <c r="H31" s="210"/>
      <c r="I31" s="426">
        <v>1.1020000000000001</v>
      </c>
      <c r="J31" s="426">
        <v>1.2809999999999999</v>
      </c>
      <c r="K31" s="426">
        <v>1.024292</v>
      </c>
      <c r="L31" s="426">
        <v>1.0414000000000001</v>
      </c>
      <c r="M31" s="426">
        <v>0.68866499999999997</v>
      </c>
      <c r="N31" s="427">
        <v>0.73760999999999999</v>
      </c>
      <c r="O31" s="427">
        <v>0.74784200000000001</v>
      </c>
      <c r="P31" s="427">
        <v>0.72744500000000001</v>
      </c>
      <c r="Q31" s="427">
        <v>0.74567100000000008</v>
      </c>
      <c r="R31" s="427">
        <v>0.77667999999999993</v>
      </c>
      <c r="S31" s="428">
        <v>0.81123900000000004</v>
      </c>
      <c r="T31" s="428">
        <v>0.84864399999999995</v>
      </c>
      <c r="U31" s="428">
        <v>0.88611400000000007</v>
      </c>
      <c r="V31" s="428">
        <v>0.92313900000000004</v>
      </c>
      <c r="W31" s="428">
        <v>0.96173600000000004</v>
      </c>
      <c r="AF31" s="172"/>
      <c r="AG31" s="172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</row>
    <row r="32" spans="1:91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</row>
    <row r="33" spans="1:91" ht="18.75" x14ac:dyDescent="0.3">
      <c r="A33" s="37" t="s">
        <v>403</v>
      </c>
      <c r="B33" s="37"/>
      <c r="C33" s="38"/>
      <c r="D33" s="38"/>
      <c r="E33" s="79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171"/>
      <c r="AK33" s="171"/>
      <c r="AL33" s="171"/>
      <c r="AM33" s="171"/>
      <c r="AN33" s="171"/>
      <c r="AO33" s="171"/>
      <c r="AP33" s="171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</row>
    <row r="34" spans="1:91" ht="15.75" x14ac:dyDescent="0.25">
      <c r="A34" s="164" t="s">
        <v>797</v>
      </c>
      <c r="B34" s="89"/>
      <c r="C34" s="38"/>
      <c r="D34" s="38"/>
      <c r="E34" s="89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</row>
    <row r="35" spans="1:91" x14ac:dyDescent="0.2">
      <c r="A35" s="39"/>
      <c r="B35" s="89" t="s">
        <v>203</v>
      </c>
      <c r="C35" s="38"/>
      <c r="D35" s="38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</row>
    <row r="36" spans="1:91" x14ac:dyDescent="0.2">
      <c r="A36" s="90" t="s">
        <v>197</v>
      </c>
      <c r="B36" s="78" t="s">
        <v>125</v>
      </c>
      <c r="C36" s="78" t="s">
        <v>126</v>
      </c>
      <c r="D36" s="38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</row>
    <row r="37" spans="1:91" x14ac:dyDescent="0.2">
      <c r="A37" s="90" t="s">
        <v>248</v>
      </c>
      <c r="B37" s="88">
        <v>284.07427085053865</v>
      </c>
      <c r="C37" s="88">
        <v>282.08616839173135</v>
      </c>
      <c r="D37" s="3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</row>
    <row r="38" spans="1:91" x14ac:dyDescent="0.2">
      <c r="A38" s="90" t="s">
        <v>249</v>
      </c>
      <c r="B38" s="88">
        <v>427.98306835343374</v>
      </c>
      <c r="C38" s="88">
        <v>398.44850112959477</v>
      </c>
      <c r="D38" s="38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</row>
    <row r="39" spans="1:91" x14ac:dyDescent="0.2">
      <c r="A39" s="90" t="s">
        <v>250</v>
      </c>
      <c r="B39" s="88">
        <v>442.07403872189627</v>
      </c>
      <c r="C39" s="88">
        <v>424.19454621599368</v>
      </c>
      <c r="D39" s="38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</row>
    <row r="40" spans="1:91" x14ac:dyDescent="0.2">
      <c r="A40" s="90" t="s">
        <v>251</v>
      </c>
      <c r="B40" s="88">
        <v>588.84958572235541</v>
      </c>
      <c r="C40" s="88">
        <v>591.96075213361814</v>
      </c>
      <c r="D40" s="38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</row>
    <row r="41" spans="1:91" x14ac:dyDescent="0.2">
      <c r="A41" s="90" t="s">
        <v>198</v>
      </c>
      <c r="B41" s="88">
        <v>742.75492963864542</v>
      </c>
      <c r="C41" s="88">
        <v>1013.7836617455663</v>
      </c>
      <c r="D41" s="38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</row>
    <row r="42" spans="1:91" x14ac:dyDescent="0.2">
      <c r="A42" s="90" t="s">
        <v>199</v>
      </c>
      <c r="B42" s="88">
        <v>970.47750337608852</v>
      </c>
      <c r="C42" s="88">
        <v>1506.6734517150458</v>
      </c>
      <c r="D42" s="38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</row>
    <row r="43" spans="1:91" x14ac:dyDescent="0.2">
      <c r="A43" s="90" t="s">
        <v>200</v>
      </c>
      <c r="B43" s="88">
        <v>1223.4620352444972</v>
      </c>
      <c r="C43" s="88">
        <v>1997.5192616966228</v>
      </c>
      <c r="D43" s="38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</row>
    <row r="44" spans="1:91" x14ac:dyDescent="0.2">
      <c r="A44" s="90" t="s">
        <v>201</v>
      </c>
      <c r="B44" s="88">
        <v>1408.8595486389481</v>
      </c>
      <c r="C44" s="88">
        <v>2296.9893109107807</v>
      </c>
      <c r="D44" s="38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91" x14ac:dyDescent="0.2">
      <c r="A45" s="90" t="s">
        <v>260</v>
      </c>
      <c r="B45" s="88">
        <v>1517.1172515504059</v>
      </c>
      <c r="C45" s="88">
        <v>2622.5340732791324</v>
      </c>
      <c r="D45" s="38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91" x14ac:dyDescent="0.2">
      <c r="A46" s="90" t="s">
        <v>202</v>
      </c>
      <c r="B46" s="88">
        <v>794.78779319079626</v>
      </c>
      <c r="C46" s="88">
        <v>1119.1026090508101</v>
      </c>
      <c r="D46" s="38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91" x14ac:dyDescent="0.2">
      <c r="K47" s="83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91" ht="15.75" x14ac:dyDescent="0.25">
      <c r="A48" s="16" t="s">
        <v>871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95" ht="13.5" thickBot="1" x14ac:dyDescent="0.25">
      <c r="A49" s="54" t="s">
        <v>267</v>
      </c>
      <c r="B49" s="56" t="s">
        <v>266</v>
      </c>
      <c r="C49" s="58"/>
      <c r="D49" s="56" t="s">
        <v>196</v>
      </c>
      <c r="E49" s="55"/>
      <c r="F49" s="56" t="s">
        <v>269</v>
      </c>
      <c r="G49" s="58"/>
      <c r="H49" s="56" t="s">
        <v>270</v>
      </c>
      <c r="I49" s="58"/>
      <c r="J49" s="56" t="s">
        <v>195</v>
      </c>
      <c r="K49" s="58"/>
      <c r="L49" s="56" t="s">
        <v>271</v>
      </c>
      <c r="M49" s="58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95" ht="13.5" thickBot="1" x14ac:dyDescent="0.25">
      <c r="A50" s="53" t="s">
        <v>268</v>
      </c>
      <c r="B50" s="57" t="s">
        <v>125</v>
      </c>
      <c r="C50" s="58" t="s">
        <v>126</v>
      </c>
      <c r="D50" s="57" t="s">
        <v>125</v>
      </c>
      <c r="E50" s="58" t="s">
        <v>126</v>
      </c>
      <c r="F50" s="57" t="s">
        <v>125</v>
      </c>
      <c r="G50" s="58" t="s">
        <v>126</v>
      </c>
      <c r="H50" s="57" t="s">
        <v>125</v>
      </c>
      <c r="I50" s="58" t="s">
        <v>126</v>
      </c>
      <c r="J50" s="57" t="s">
        <v>125</v>
      </c>
      <c r="K50" s="58" t="s">
        <v>126</v>
      </c>
      <c r="L50" s="57" t="s">
        <v>125</v>
      </c>
      <c r="M50" s="58" t="s">
        <v>126</v>
      </c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95" x14ac:dyDescent="0.2">
      <c r="A51" s="59" t="s">
        <v>248</v>
      </c>
      <c r="B51" s="61">
        <v>2410.7521634947125</v>
      </c>
      <c r="C51" s="61">
        <v>2787.7563780184369</v>
      </c>
      <c r="D51" s="61">
        <v>0</v>
      </c>
      <c r="E51" s="61">
        <v>0</v>
      </c>
      <c r="F51" s="61">
        <v>3.9683004105951278</v>
      </c>
      <c r="G51" s="61">
        <v>6.2563430045918436</v>
      </c>
      <c r="H51" s="61">
        <v>126.92276181642042</v>
      </c>
      <c r="I51" s="61">
        <v>126.86708275952303</v>
      </c>
      <c r="J51" s="61">
        <v>72.607943750739551</v>
      </c>
      <c r="K51" s="61">
        <v>99.066770710754824</v>
      </c>
      <c r="L51" s="61">
        <f t="shared" ref="L51:M68" si="1">SUM(B51,D51,F51,H51,J51)</f>
        <v>2614.2511694724676</v>
      </c>
      <c r="M51" s="61">
        <f t="shared" si="1"/>
        <v>3019.9465744933068</v>
      </c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32"/>
      <c r="CI51" s="32"/>
      <c r="CJ51" s="32"/>
      <c r="CK51" s="32"/>
      <c r="CL51" s="32"/>
      <c r="CM51" s="32"/>
      <c r="CN51" s="32"/>
      <c r="CO51" s="32"/>
      <c r="CP51" s="32"/>
      <c r="CQ51" s="32"/>
    </row>
    <row r="52" spans="1:95" x14ac:dyDescent="0.2">
      <c r="A52" s="59" t="s">
        <v>249</v>
      </c>
      <c r="B52" s="61">
        <v>697.23095857699548</v>
      </c>
      <c r="C52" s="61">
        <v>793.05654904691221</v>
      </c>
      <c r="D52" s="61">
        <v>0</v>
      </c>
      <c r="E52" s="61">
        <v>0</v>
      </c>
      <c r="F52" s="61">
        <v>34.619801339974188</v>
      </c>
      <c r="G52" s="61">
        <v>92.870144171716859</v>
      </c>
      <c r="H52" s="61">
        <v>161.18261938612491</v>
      </c>
      <c r="I52" s="61">
        <v>161.40068896955586</v>
      </c>
      <c r="J52" s="61">
        <v>81.1768661770666</v>
      </c>
      <c r="K52" s="61">
        <v>150.22961870837258</v>
      </c>
      <c r="L52" s="61">
        <f t="shared" si="1"/>
        <v>974.21024548016112</v>
      </c>
      <c r="M52" s="61">
        <f t="shared" si="1"/>
        <v>1197.5570008965574</v>
      </c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32"/>
      <c r="CI52" s="32"/>
      <c r="CJ52" s="32"/>
      <c r="CK52" s="32"/>
      <c r="CL52" s="32"/>
      <c r="CM52" s="32"/>
      <c r="CN52" s="32"/>
      <c r="CO52" s="32"/>
      <c r="CP52" s="32"/>
      <c r="CQ52" s="32"/>
    </row>
    <row r="53" spans="1:95" x14ac:dyDescent="0.2">
      <c r="A53" s="59" t="s">
        <v>250</v>
      </c>
      <c r="B53" s="61">
        <v>663.83708062256062</v>
      </c>
      <c r="C53" s="61">
        <v>777.68441118326939</v>
      </c>
      <c r="D53" s="61">
        <v>0</v>
      </c>
      <c r="E53" s="61">
        <v>0</v>
      </c>
      <c r="F53" s="61">
        <v>127.16897573878718</v>
      </c>
      <c r="G53" s="61">
        <v>156.6085733575388</v>
      </c>
      <c r="H53" s="61">
        <v>159.4625975608528</v>
      </c>
      <c r="I53" s="61">
        <v>159.27010626421597</v>
      </c>
      <c r="J53" s="61">
        <v>97.061278227997377</v>
      </c>
      <c r="K53" s="61">
        <v>162.96905391134294</v>
      </c>
      <c r="L53" s="61">
        <f t="shared" si="1"/>
        <v>1047.529932150198</v>
      </c>
      <c r="M53" s="61">
        <f t="shared" si="1"/>
        <v>1256.5321447163669</v>
      </c>
      <c r="N53" s="172"/>
      <c r="O53" s="172"/>
      <c r="P53" s="172"/>
      <c r="Q53" s="172"/>
      <c r="R53" s="32"/>
      <c r="S53" s="32"/>
      <c r="T53" s="36"/>
      <c r="U53" s="32"/>
      <c r="V53" s="32"/>
      <c r="W53" s="32"/>
    </row>
    <row r="54" spans="1:95" x14ac:dyDescent="0.2">
      <c r="A54" s="59" t="s">
        <v>251</v>
      </c>
      <c r="B54" s="61">
        <v>1088.0151029219078</v>
      </c>
      <c r="C54" s="61">
        <v>799.60364611080126</v>
      </c>
      <c r="D54" s="61">
        <v>0</v>
      </c>
      <c r="E54" s="61">
        <v>0</v>
      </c>
      <c r="F54" s="61">
        <v>352.21651219641194</v>
      </c>
      <c r="G54" s="61">
        <v>271.34751614113998</v>
      </c>
      <c r="H54" s="61">
        <v>152.48406475117622</v>
      </c>
      <c r="I54" s="61">
        <v>151.68825099408846</v>
      </c>
      <c r="J54" s="61">
        <v>95.762266051665904</v>
      </c>
      <c r="K54" s="61">
        <v>172.60909164096086</v>
      </c>
      <c r="L54" s="61">
        <f t="shared" si="1"/>
        <v>1688.4779459211618</v>
      </c>
      <c r="M54" s="61">
        <f t="shared" si="1"/>
        <v>1395.2485048869908</v>
      </c>
      <c r="N54" s="172"/>
      <c r="O54" s="172"/>
      <c r="P54" s="172"/>
      <c r="Q54" s="172"/>
      <c r="R54" s="32"/>
      <c r="S54" s="32"/>
      <c r="T54" s="36"/>
      <c r="U54" s="32"/>
      <c r="V54" s="32"/>
      <c r="W54" s="32"/>
    </row>
    <row r="55" spans="1:95" x14ac:dyDescent="0.2">
      <c r="A55" s="59" t="s">
        <v>252</v>
      </c>
      <c r="B55" s="61">
        <v>1352.2937168259709</v>
      </c>
      <c r="C55" s="61">
        <v>717.66852486395805</v>
      </c>
      <c r="D55" s="61">
        <v>0</v>
      </c>
      <c r="E55" s="61">
        <v>0</v>
      </c>
      <c r="F55" s="61">
        <v>277.53765257972378</v>
      </c>
      <c r="G55" s="61">
        <v>420.09306768731881</v>
      </c>
      <c r="H55" s="61">
        <v>154.95175903942763</v>
      </c>
      <c r="I55" s="61">
        <v>152.7412581034138</v>
      </c>
      <c r="J55" s="61">
        <v>149.24966215429794</v>
      </c>
      <c r="K55" s="61">
        <v>193.98581833217045</v>
      </c>
      <c r="L55" s="61">
        <f t="shared" si="1"/>
        <v>1934.0327905994202</v>
      </c>
      <c r="M55" s="61">
        <f t="shared" si="1"/>
        <v>1484.4886689868613</v>
      </c>
      <c r="N55" s="172"/>
      <c r="O55" s="172"/>
      <c r="P55" s="172"/>
      <c r="Q55" s="172"/>
      <c r="R55" s="32"/>
      <c r="S55" s="32"/>
      <c r="T55" s="36"/>
      <c r="U55" s="32"/>
      <c r="V55" s="32"/>
      <c r="W55" s="32"/>
    </row>
    <row r="56" spans="1:95" x14ac:dyDescent="0.2">
      <c r="A56" s="59" t="s">
        <v>253</v>
      </c>
      <c r="B56" s="61">
        <v>1548.8048026040317</v>
      </c>
      <c r="C56" s="61">
        <v>746.63203413856706</v>
      </c>
      <c r="D56" s="61">
        <v>0</v>
      </c>
      <c r="E56" s="61">
        <v>0</v>
      </c>
      <c r="F56" s="61">
        <v>335.02509419861371</v>
      </c>
      <c r="G56" s="61">
        <v>524.61205267780952</v>
      </c>
      <c r="H56" s="61">
        <v>107.42664731493683</v>
      </c>
      <c r="I56" s="61">
        <v>107.01264196777264</v>
      </c>
      <c r="J56" s="61">
        <v>235.80489453512305</v>
      </c>
      <c r="K56" s="61">
        <v>246.19699194577507</v>
      </c>
      <c r="L56" s="61">
        <f t="shared" si="1"/>
        <v>2227.0614386527054</v>
      </c>
      <c r="M56" s="61">
        <f t="shared" si="1"/>
        <v>1624.4537207299245</v>
      </c>
      <c r="N56" s="172"/>
      <c r="O56" s="172"/>
      <c r="P56" s="172"/>
      <c r="Q56" s="172"/>
      <c r="R56" s="32"/>
      <c r="S56" s="32"/>
      <c r="T56" s="36"/>
      <c r="U56" s="32"/>
      <c r="V56" s="32"/>
      <c r="W56" s="32"/>
    </row>
    <row r="57" spans="1:95" x14ac:dyDescent="0.2">
      <c r="A57" s="59" t="s">
        <v>254</v>
      </c>
      <c r="B57" s="61">
        <v>1774.3143119345007</v>
      </c>
      <c r="C57" s="61">
        <v>833.93395702016915</v>
      </c>
      <c r="D57" s="61">
        <v>0</v>
      </c>
      <c r="E57" s="61">
        <v>0</v>
      </c>
      <c r="F57" s="61">
        <v>408.03937871902502</v>
      </c>
      <c r="G57" s="61">
        <v>524.78761219723981</v>
      </c>
      <c r="H57" s="61">
        <v>105.33588282779429</v>
      </c>
      <c r="I57" s="61">
        <v>105.46231491216506</v>
      </c>
      <c r="J57" s="61">
        <v>241.61626479765869</v>
      </c>
      <c r="K57" s="61">
        <v>289.38344938697145</v>
      </c>
      <c r="L57" s="61">
        <f t="shared" si="1"/>
        <v>2529.3058382789786</v>
      </c>
      <c r="M57" s="61">
        <f t="shared" si="1"/>
        <v>1753.5673335165457</v>
      </c>
      <c r="N57" s="172"/>
      <c r="O57" s="172"/>
      <c r="P57" s="172"/>
      <c r="Q57" s="172"/>
      <c r="R57" s="32"/>
      <c r="S57" s="32"/>
      <c r="T57" s="36"/>
      <c r="U57" s="32"/>
      <c r="V57" s="32"/>
      <c r="W57" s="32"/>
    </row>
    <row r="58" spans="1:95" x14ac:dyDescent="0.2">
      <c r="A58" s="59" t="s">
        <v>255</v>
      </c>
      <c r="B58" s="61">
        <v>1576.9056138673814</v>
      </c>
      <c r="C58" s="61">
        <v>905.23068238565872</v>
      </c>
      <c r="D58" s="61">
        <v>0</v>
      </c>
      <c r="E58" s="61">
        <v>0</v>
      </c>
      <c r="F58" s="61">
        <v>431.00961175033348</v>
      </c>
      <c r="G58" s="61">
        <v>473.03825721851621</v>
      </c>
      <c r="H58" s="61">
        <v>102.31150895915131</v>
      </c>
      <c r="I58" s="61">
        <v>102.78988085479416</v>
      </c>
      <c r="J58" s="61">
        <v>310.5094895178363</v>
      </c>
      <c r="K58" s="61">
        <v>288.63138970593735</v>
      </c>
      <c r="L58" s="61">
        <f t="shared" si="1"/>
        <v>2420.7362240947027</v>
      </c>
      <c r="M58" s="61">
        <f t="shared" si="1"/>
        <v>1769.6902101649064</v>
      </c>
      <c r="N58" s="172"/>
      <c r="O58" s="172"/>
      <c r="P58" s="172"/>
      <c r="Q58" s="172"/>
      <c r="R58" s="32"/>
      <c r="S58" s="32"/>
      <c r="T58" s="36"/>
      <c r="U58" s="32"/>
      <c r="V58" s="32"/>
      <c r="W58" s="32"/>
    </row>
    <row r="59" spans="1:95" x14ac:dyDescent="0.2">
      <c r="A59" s="59" t="s">
        <v>256</v>
      </c>
      <c r="B59" s="61">
        <v>1326.6662069009456</v>
      </c>
      <c r="C59" s="61">
        <v>1104.9538113389219</v>
      </c>
      <c r="D59" s="61">
        <v>0</v>
      </c>
      <c r="E59" s="61">
        <v>0</v>
      </c>
      <c r="F59" s="61">
        <v>405.16547815695355</v>
      </c>
      <c r="G59" s="61">
        <v>384.34883695355967</v>
      </c>
      <c r="H59" s="61">
        <v>100.78319000967956</v>
      </c>
      <c r="I59" s="61">
        <v>100.85087898924037</v>
      </c>
      <c r="J59" s="61">
        <v>278.37603041910967</v>
      </c>
      <c r="K59" s="61">
        <v>280.81452696064423</v>
      </c>
      <c r="L59" s="61">
        <f t="shared" si="1"/>
        <v>2110.9909054866885</v>
      </c>
      <c r="M59" s="61">
        <f t="shared" si="1"/>
        <v>1870.9680542423662</v>
      </c>
      <c r="N59" s="172"/>
      <c r="O59" s="172"/>
      <c r="P59" s="172"/>
      <c r="Q59" s="172"/>
      <c r="R59" s="32"/>
      <c r="S59" s="32"/>
      <c r="T59" s="36"/>
      <c r="U59" s="32"/>
      <c r="V59" s="32"/>
      <c r="W59" s="32"/>
    </row>
    <row r="60" spans="1:95" x14ac:dyDescent="0.2">
      <c r="A60" s="59" t="s">
        <v>257</v>
      </c>
      <c r="B60" s="61">
        <v>1480.422468340485</v>
      </c>
      <c r="C60" s="61">
        <v>1361.5346952075317</v>
      </c>
      <c r="D60" s="61">
        <v>0</v>
      </c>
      <c r="E60" s="61">
        <v>0</v>
      </c>
      <c r="F60" s="61">
        <v>380.29777129037939</v>
      </c>
      <c r="G60" s="61">
        <v>369.24523700645062</v>
      </c>
      <c r="H60" s="61">
        <v>99.657920096842915</v>
      </c>
      <c r="I60" s="61">
        <v>99.300204733293853</v>
      </c>
      <c r="J60" s="61">
        <v>345.24097296922588</v>
      </c>
      <c r="K60" s="61">
        <v>278.76345510327872</v>
      </c>
      <c r="L60" s="61">
        <f t="shared" si="1"/>
        <v>2305.6191326969333</v>
      </c>
      <c r="M60" s="61">
        <f t="shared" si="1"/>
        <v>2108.8435920505549</v>
      </c>
      <c r="N60" s="172"/>
      <c r="O60" s="172"/>
      <c r="P60" s="172"/>
      <c r="Q60" s="172"/>
      <c r="R60" s="32"/>
      <c r="S60" s="32"/>
      <c r="T60" s="36"/>
      <c r="U60" s="32"/>
      <c r="V60" s="32"/>
      <c r="W60" s="32"/>
    </row>
    <row r="61" spans="1:95" x14ac:dyDescent="0.2">
      <c r="A61" s="59" t="s">
        <v>258</v>
      </c>
      <c r="B61" s="61">
        <v>1740.744994708821</v>
      </c>
      <c r="C61" s="61">
        <v>1757.8054035805046</v>
      </c>
      <c r="D61" s="61">
        <v>41.744445352225632</v>
      </c>
      <c r="E61" s="61">
        <v>27.222146884348522</v>
      </c>
      <c r="F61" s="61">
        <v>297.82578231535535</v>
      </c>
      <c r="G61" s="61">
        <v>264.50612269579051</v>
      </c>
      <c r="H61" s="61">
        <v>98.738249149753486</v>
      </c>
      <c r="I61" s="61">
        <v>98.162705141066411</v>
      </c>
      <c r="J61" s="61">
        <v>351.50813697784281</v>
      </c>
      <c r="K61" s="61">
        <v>283.4353410006114</v>
      </c>
      <c r="L61" s="61">
        <f t="shared" si="1"/>
        <v>2530.5616085039978</v>
      </c>
      <c r="M61" s="61">
        <f t="shared" si="1"/>
        <v>2431.1317193023219</v>
      </c>
      <c r="N61" s="172"/>
      <c r="O61" s="172"/>
      <c r="P61" s="172"/>
      <c r="Q61" s="172"/>
      <c r="R61" s="32"/>
      <c r="S61" s="32"/>
      <c r="T61" s="36"/>
      <c r="U61" s="32"/>
      <c r="V61" s="32"/>
      <c r="W61" s="32"/>
    </row>
    <row r="62" spans="1:95" x14ac:dyDescent="0.2">
      <c r="A62" s="59" t="s">
        <v>259</v>
      </c>
      <c r="B62" s="61">
        <v>2138.0218062739341</v>
      </c>
      <c r="C62" s="61">
        <v>2301.9408736441951</v>
      </c>
      <c r="D62" s="61">
        <v>76.423833779065589</v>
      </c>
      <c r="E62" s="61">
        <v>58.79716741082953</v>
      </c>
      <c r="F62" s="61">
        <v>275.10981338020724</v>
      </c>
      <c r="G62" s="61">
        <v>211.98761893159863</v>
      </c>
      <c r="H62" s="61">
        <v>97.928970973984761</v>
      </c>
      <c r="I62" s="61">
        <v>97.292222890405426</v>
      </c>
      <c r="J62" s="61">
        <v>447.81735552480609</v>
      </c>
      <c r="K62" s="61">
        <v>355.24564569570879</v>
      </c>
      <c r="L62" s="61">
        <f t="shared" si="1"/>
        <v>3035.3017799319978</v>
      </c>
      <c r="M62" s="61">
        <f t="shared" si="1"/>
        <v>3025.2635285727374</v>
      </c>
      <c r="N62" s="172"/>
      <c r="O62" s="172"/>
      <c r="P62" s="172"/>
      <c r="Q62" s="172"/>
      <c r="R62" s="32"/>
      <c r="S62" s="32"/>
      <c r="T62" s="36"/>
      <c r="U62" s="32"/>
      <c r="V62" s="32"/>
      <c r="W62" s="32"/>
    </row>
    <row r="63" spans="1:95" x14ac:dyDescent="0.2">
      <c r="A63" s="59" t="s">
        <v>260</v>
      </c>
      <c r="B63" s="61">
        <v>2685.7179597519821</v>
      </c>
      <c r="C63" s="61">
        <v>3005.6123078759524</v>
      </c>
      <c r="D63" s="61">
        <v>151.7277460210548</v>
      </c>
      <c r="E63" s="61">
        <v>115.50659923030238</v>
      </c>
      <c r="F63" s="61">
        <v>260.62787577243256</v>
      </c>
      <c r="G63" s="61">
        <v>151.84874509208532</v>
      </c>
      <c r="H63" s="61">
        <v>97.420877687840274</v>
      </c>
      <c r="I63" s="61">
        <v>96.504376379198746</v>
      </c>
      <c r="J63" s="61">
        <v>627.40009148080969</v>
      </c>
      <c r="K63" s="61">
        <v>533.25589322773214</v>
      </c>
      <c r="L63" s="61">
        <f t="shared" si="1"/>
        <v>3822.8945507141198</v>
      </c>
      <c r="M63" s="61">
        <f t="shared" si="1"/>
        <v>3902.7279218052709</v>
      </c>
      <c r="N63" s="172"/>
      <c r="O63" s="172"/>
      <c r="P63" s="172"/>
      <c r="Q63" s="172"/>
      <c r="R63" s="32"/>
      <c r="S63" s="32"/>
      <c r="T63" s="36"/>
      <c r="U63" s="32"/>
      <c r="V63" s="32"/>
      <c r="W63" s="32"/>
    </row>
    <row r="64" spans="1:95" x14ac:dyDescent="0.2">
      <c r="A64" s="59" t="s">
        <v>261</v>
      </c>
      <c r="B64" s="61">
        <v>3588.1392106148819</v>
      </c>
      <c r="C64" s="61">
        <v>4215.4294310177056</v>
      </c>
      <c r="D64" s="61">
        <v>378.42994221470207</v>
      </c>
      <c r="E64" s="61">
        <v>325.84655432988615</v>
      </c>
      <c r="F64" s="61">
        <v>213.07109949010098</v>
      </c>
      <c r="G64" s="61">
        <v>138.30663298571471</v>
      </c>
      <c r="H64" s="61">
        <v>97.886306882612928</v>
      </c>
      <c r="I64" s="61">
        <v>96.995775706183792</v>
      </c>
      <c r="J64" s="61">
        <v>0</v>
      </c>
      <c r="K64" s="61">
        <v>0</v>
      </c>
      <c r="L64" s="61">
        <f t="shared" si="1"/>
        <v>4277.5265592022979</v>
      </c>
      <c r="M64" s="61">
        <f t="shared" si="1"/>
        <v>4776.5783940394904</v>
      </c>
      <c r="N64" s="172"/>
      <c r="O64" s="172"/>
      <c r="P64" s="172"/>
      <c r="Q64" s="172"/>
      <c r="R64" s="32"/>
      <c r="S64" s="32"/>
      <c r="T64" s="36"/>
      <c r="U64" s="32"/>
      <c r="V64" s="32"/>
      <c r="W64" s="32"/>
    </row>
    <row r="65" spans="1:23" x14ac:dyDescent="0.2">
      <c r="A65" s="59" t="s">
        <v>262</v>
      </c>
      <c r="B65" s="61">
        <v>4379.8421382209945</v>
      </c>
      <c r="C65" s="61">
        <v>5220.3495747641628</v>
      </c>
      <c r="D65" s="61">
        <v>838.43005298878563</v>
      </c>
      <c r="E65" s="61">
        <v>739.449813593773</v>
      </c>
      <c r="F65" s="61">
        <v>195.1507356979954</v>
      </c>
      <c r="G65" s="61">
        <v>150.12702807846</v>
      </c>
      <c r="H65" s="61">
        <v>98.820605244872354</v>
      </c>
      <c r="I65" s="61">
        <v>97.45120208539339</v>
      </c>
      <c r="J65" s="61">
        <v>0</v>
      </c>
      <c r="K65" s="61">
        <v>0</v>
      </c>
      <c r="L65" s="61">
        <f t="shared" si="1"/>
        <v>5512.2435321526482</v>
      </c>
      <c r="M65" s="61">
        <f t="shared" si="1"/>
        <v>6207.3776185217894</v>
      </c>
      <c r="N65" s="172"/>
      <c r="O65" s="172"/>
      <c r="P65" s="172"/>
      <c r="Q65" s="172"/>
      <c r="R65" s="32"/>
      <c r="S65" s="32"/>
      <c r="T65" s="36"/>
      <c r="U65" s="32"/>
      <c r="V65" s="32"/>
      <c r="W65" s="32"/>
    </row>
    <row r="66" spans="1:23" x14ac:dyDescent="0.2">
      <c r="A66" s="59" t="s">
        <v>263</v>
      </c>
      <c r="B66" s="61">
        <v>5103.6992710328987</v>
      </c>
      <c r="C66" s="61">
        <v>6202.3154888374302</v>
      </c>
      <c r="D66" s="61">
        <v>1793.517761294381</v>
      </c>
      <c r="E66" s="61">
        <v>1537.1042078595178</v>
      </c>
      <c r="F66" s="61">
        <v>212.23413202200564</v>
      </c>
      <c r="G66" s="61">
        <v>168.3883512432069</v>
      </c>
      <c r="H66" s="61">
        <v>98.722273162133177</v>
      </c>
      <c r="I66" s="61">
        <v>97.175176722887443</v>
      </c>
      <c r="J66" s="61">
        <v>0</v>
      </c>
      <c r="K66" s="61">
        <v>0</v>
      </c>
      <c r="L66" s="61">
        <f t="shared" si="1"/>
        <v>7208.1734375114183</v>
      </c>
      <c r="M66" s="61">
        <f t="shared" si="1"/>
        <v>8004.9832246630422</v>
      </c>
      <c r="N66" s="172"/>
      <c r="O66" s="172"/>
      <c r="P66" s="172"/>
      <c r="Q66" s="172"/>
      <c r="R66" s="32"/>
      <c r="S66" s="32"/>
      <c r="T66" s="36"/>
      <c r="U66" s="32"/>
      <c r="V66" s="32"/>
      <c r="W66" s="32"/>
    </row>
    <row r="67" spans="1:23" x14ac:dyDescent="0.2">
      <c r="A67" s="59" t="s">
        <v>264</v>
      </c>
      <c r="B67" s="61">
        <v>5589.6012995945457</v>
      </c>
      <c r="C67" s="61">
        <v>6779.6328287507331</v>
      </c>
      <c r="D67" s="61">
        <v>3984.6705796130645</v>
      </c>
      <c r="E67" s="61">
        <v>2801.3480076794349</v>
      </c>
      <c r="F67" s="61">
        <v>253.79793229572351</v>
      </c>
      <c r="G67" s="61">
        <v>223.0386178874769</v>
      </c>
      <c r="H67" s="61">
        <v>98.215713550273875</v>
      </c>
      <c r="I67" s="61">
        <v>96.620264361238128</v>
      </c>
      <c r="J67" s="61">
        <v>0</v>
      </c>
      <c r="K67" s="61">
        <v>0</v>
      </c>
      <c r="L67" s="61">
        <f t="shared" si="1"/>
        <v>9926.2855250536068</v>
      </c>
      <c r="M67" s="61">
        <f t="shared" si="1"/>
        <v>9900.6397186788818</v>
      </c>
      <c r="N67" s="172"/>
      <c r="O67" s="172"/>
      <c r="P67" s="172"/>
      <c r="Q67" s="172"/>
      <c r="R67" s="32"/>
      <c r="S67" s="32"/>
      <c r="T67" s="36"/>
      <c r="U67" s="32"/>
      <c r="V67" s="32"/>
      <c r="W67" s="32"/>
    </row>
    <row r="68" spans="1:23" x14ac:dyDescent="0.2">
      <c r="A68" s="59" t="s">
        <v>194</v>
      </c>
      <c r="B68" s="61">
        <v>5965.3300172396321</v>
      </c>
      <c r="C68" s="61">
        <v>7189.8267035699482</v>
      </c>
      <c r="D68" s="61">
        <v>9487.5964700686454</v>
      </c>
      <c r="E68" s="61">
        <v>5645.5594349525827</v>
      </c>
      <c r="F68" s="61">
        <v>216.58491118856054</v>
      </c>
      <c r="G68" s="61">
        <v>234.59164857492721</v>
      </c>
      <c r="H68" s="61">
        <v>97.674483427677018</v>
      </c>
      <c r="I68" s="61">
        <v>96.408392083043765</v>
      </c>
      <c r="J68" s="61">
        <v>0</v>
      </c>
      <c r="K68" s="61">
        <v>0</v>
      </c>
      <c r="L68" s="61">
        <f t="shared" si="1"/>
        <v>15767.185881924515</v>
      </c>
      <c r="M68" s="61">
        <f t="shared" si="1"/>
        <v>13166.386179180503</v>
      </c>
      <c r="N68" s="172"/>
      <c r="O68" s="172"/>
      <c r="P68" s="172"/>
      <c r="Q68" s="172"/>
      <c r="R68" s="32"/>
      <c r="S68" s="32"/>
      <c r="T68" s="36"/>
      <c r="U68" s="32"/>
      <c r="V68" s="32"/>
      <c r="W68" s="32"/>
    </row>
    <row r="69" spans="1:23" ht="13.5" thickBot="1" x14ac:dyDescent="0.25">
      <c r="A69" s="60" t="s">
        <v>265</v>
      </c>
      <c r="B69" s="62">
        <f t="shared" ref="B69:M69" si="2">SUM(B51:B68)</f>
        <v>45110.339123527177</v>
      </c>
      <c r="C69" s="62">
        <f t="shared" si="2"/>
        <v>47500.967301354867</v>
      </c>
      <c r="D69" s="62">
        <f t="shared" si="2"/>
        <v>16752.540831331924</v>
      </c>
      <c r="E69" s="62">
        <f t="shared" si="2"/>
        <v>11250.833931940675</v>
      </c>
      <c r="F69" s="62">
        <f t="shared" si="2"/>
        <v>4679.4508585431786</v>
      </c>
      <c r="G69" s="62">
        <f t="shared" si="2"/>
        <v>4766.002405905143</v>
      </c>
      <c r="H69" s="62">
        <f t="shared" si="2"/>
        <v>2055.9264318415549</v>
      </c>
      <c r="I69" s="62">
        <f t="shared" si="2"/>
        <v>2043.9934239174802</v>
      </c>
      <c r="J69" s="62">
        <f t="shared" si="2"/>
        <v>3334.1312525841799</v>
      </c>
      <c r="K69" s="62">
        <f t="shared" si="2"/>
        <v>3334.5870463302613</v>
      </c>
      <c r="L69" s="62">
        <f t="shared" si="2"/>
        <v>71932.388497828026</v>
      </c>
      <c r="M69" s="62">
        <f t="shared" si="2"/>
        <v>68896.384109448409</v>
      </c>
      <c r="N69" s="172"/>
      <c r="O69" s="172"/>
      <c r="P69" s="172"/>
      <c r="Q69" s="172"/>
      <c r="R69" s="32"/>
      <c r="S69" s="32"/>
      <c r="T69" s="36"/>
      <c r="U69" s="32"/>
      <c r="V69" s="32"/>
      <c r="W69" s="32"/>
    </row>
    <row r="71" spans="1:23" ht="15.75" x14ac:dyDescent="0.25">
      <c r="A71" s="23" t="s">
        <v>150</v>
      </c>
      <c r="B71" s="22"/>
      <c r="C71" s="22"/>
      <c r="D71" s="22"/>
      <c r="E71" s="22"/>
      <c r="F71" s="22"/>
      <c r="G71" s="22"/>
      <c r="H71" s="22"/>
      <c r="I71" s="22"/>
    </row>
    <row r="72" spans="1:23" x14ac:dyDescent="0.2">
      <c r="A72" s="404"/>
      <c r="B72" s="407" t="s">
        <v>1030</v>
      </c>
      <c r="C72" s="410"/>
      <c r="D72" s="407" t="s">
        <v>1032</v>
      </c>
      <c r="E72" s="410"/>
      <c r="F72" s="407" t="s">
        <v>1033</v>
      </c>
      <c r="G72" s="410"/>
    </row>
    <row r="73" spans="1:23" x14ac:dyDescent="0.2">
      <c r="A73" s="404"/>
      <c r="B73" s="408" t="s">
        <v>1029</v>
      </c>
      <c r="C73" s="409"/>
      <c r="D73" s="408" t="s">
        <v>1031</v>
      </c>
      <c r="E73" s="409"/>
      <c r="F73" s="408" t="s">
        <v>1029</v>
      </c>
      <c r="G73" s="409"/>
    </row>
    <row r="74" spans="1:23" x14ac:dyDescent="0.2">
      <c r="A74" s="18" t="s">
        <v>124</v>
      </c>
      <c r="B74" s="19" t="s">
        <v>125</v>
      </c>
      <c r="C74" s="19" t="s">
        <v>126</v>
      </c>
      <c r="D74" s="19" t="s">
        <v>125</v>
      </c>
      <c r="E74" s="19" t="s">
        <v>126</v>
      </c>
      <c r="F74" s="19" t="s">
        <v>125</v>
      </c>
      <c r="G74" s="19" t="s">
        <v>126</v>
      </c>
    </row>
    <row r="75" spans="1:23" x14ac:dyDescent="0.2">
      <c r="A75" s="405" t="s">
        <v>1027</v>
      </c>
      <c r="B75" s="93">
        <v>1628</v>
      </c>
      <c r="C75" s="93">
        <v>31</v>
      </c>
      <c r="D75" s="93">
        <v>1065</v>
      </c>
      <c r="E75" s="93">
        <v>1638</v>
      </c>
      <c r="F75" s="93">
        <v>5005</v>
      </c>
      <c r="G75" s="93">
        <v>4787</v>
      </c>
    </row>
    <row r="76" spans="1:23" x14ac:dyDescent="0.2">
      <c r="A76" s="91" t="s">
        <v>204</v>
      </c>
      <c r="B76" s="93">
        <v>16800</v>
      </c>
      <c r="C76" s="93">
        <v>617</v>
      </c>
      <c r="D76" s="93">
        <v>2372</v>
      </c>
      <c r="E76" s="93">
        <v>2960</v>
      </c>
      <c r="F76" s="93">
        <v>9402</v>
      </c>
      <c r="G76" s="93">
        <v>12194</v>
      </c>
    </row>
    <row r="77" spans="1:23" x14ac:dyDescent="0.2">
      <c r="A77" s="91" t="s">
        <v>205</v>
      </c>
      <c r="B77" s="93">
        <v>16480</v>
      </c>
      <c r="C77" s="93">
        <v>1084</v>
      </c>
      <c r="D77" s="93">
        <v>2201</v>
      </c>
      <c r="E77" s="93">
        <v>2697</v>
      </c>
      <c r="F77" s="93">
        <v>4711</v>
      </c>
      <c r="G77" s="93">
        <v>8849</v>
      </c>
    </row>
    <row r="78" spans="1:23" x14ac:dyDescent="0.2">
      <c r="A78" s="91" t="s">
        <v>206</v>
      </c>
      <c r="B78" s="93">
        <v>13408</v>
      </c>
      <c r="C78" s="93">
        <v>1460</v>
      </c>
      <c r="D78" s="93">
        <v>2328</v>
      </c>
      <c r="E78" s="93">
        <v>3030</v>
      </c>
      <c r="F78" s="93">
        <v>3690</v>
      </c>
      <c r="G78" s="93">
        <v>7389</v>
      </c>
    </row>
    <row r="79" spans="1:23" x14ac:dyDescent="0.2">
      <c r="A79" s="91" t="s">
        <v>207</v>
      </c>
      <c r="B79" s="93">
        <v>11223</v>
      </c>
      <c r="C79" s="93">
        <v>1404</v>
      </c>
      <c r="D79" s="93">
        <v>3132</v>
      </c>
      <c r="E79" s="93">
        <v>3580</v>
      </c>
      <c r="F79" s="93">
        <v>4265</v>
      </c>
      <c r="G79" s="93">
        <v>7313</v>
      </c>
    </row>
    <row r="80" spans="1:23" x14ac:dyDescent="0.2">
      <c r="A80" s="91" t="s">
        <v>208</v>
      </c>
      <c r="B80" s="93">
        <v>9347</v>
      </c>
      <c r="C80" s="93">
        <v>1310</v>
      </c>
      <c r="D80" s="93">
        <v>4607</v>
      </c>
      <c r="E80" s="93">
        <v>5011</v>
      </c>
      <c r="F80" s="93">
        <v>6328</v>
      </c>
      <c r="G80" s="93">
        <v>8298</v>
      </c>
    </row>
    <row r="81" spans="1:7" x14ac:dyDescent="0.2">
      <c r="A81" s="91" t="s">
        <v>209</v>
      </c>
      <c r="B81" s="93">
        <v>5202</v>
      </c>
      <c r="C81" s="93">
        <v>947</v>
      </c>
      <c r="D81" s="93">
        <v>5724</v>
      </c>
      <c r="E81" s="93">
        <v>5938</v>
      </c>
      <c r="F81" s="93">
        <v>7507</v>
      </c>
      <c r="G81" s="93">
        <v>8419</v>
      </c>
    </row>
    <row r="82" spans="1:7" x14ac:dyDescent="0.2">
      <c r="A82" s="91" t="s">
        <v>210</v>
      </c>
      <c r="B82" s="93">
        <v>1982</v>
      </c>
      <c r="C82" s="93">
        <v>550</v>
      </c>
      <c r="D82" s="93">
        <v>7123</v>
      </c>
      <c r="E82" s="93">
        <v>6854</v>
      </c>
      <c r="F82" s="93">
        <v>8368</v>
      </c>
      <c r="G82" s="93">
        <v>7845</v>
      </c>
    </row>
    <row r="83" spans="1:7" x14ac:dyDescent="0.2">
      <c r="A83" s="91" t="s">
        <v>211</v>
      </c>
      <c r="B83" s="93">
        <v>447</v>
      </c>
      <c r="C83" s="93">
        <v>234</v>
      </c>
      <c r="D83" s="93">
        <v>7590</v>
      </c>
      <c r="E83" s="93">
        <v>7143</v>
      </c>
      <c r="F83" s="93">
        <v>7809</v>
      </c>
      <c r="G83" s="93">
        <v>6718</v>
      </c>
    </row>
    <row r="84" spans="1:7" x14ac:dyDescent="0.2">
      <c r="A84" s="91" t="s">
        <v>212</v>
      </c>
      <c r="B84" s="93">
        <v>162</v>
      </c>
      <c r="C84" s="93">
        <v>103</v>
      </c>
      <c r="D84" s="93">
        <v>8801</v>
      </c>
      <c r="E84" s="93">
        <v>8540</v>
      </c>
      <c r="F84" s="93">
        <v>8310</v>
      </c>
      <c r="G84" s="93">
        <v>6351</v>
      </c>
    </row>
    <row r="85" spans="1:7" x14ac:dyDescent="0.2">
      <c r="A85" s="91" t="s">
        <v>127</v>
      </c>
      <c r="B85" s="94">
        <v>5</v>
      </c>
      <c r="C85" s="94">
        <v>2</v>
      </c>
      <c r="D85" s="94">
        <v>1266</v>
      </c>
      <c r="E85" s="94">
        <v>1471</v>
      </c>
      <c r="F85" s="94">
        <v>2889</v>
      </c>
      <c r="G85" s="94">
        <v>2229</v>
      </c>
    </row>
    <row r="86" spans="1:7" x14ac:dyDescent="0.2">
      <c r="A86" s="92" t="s">
        <v>265</v>
      </c>
      <c r="B86" s="95">
        <f t="shared" ref="B86:G86" si="3">SUM(B$75:B$85)</f>
        <v>76684</v>
      </c>
      <c r="C86" s="95">
        <f t="shared" si="3"/>
        <v>7742</v>
      </c>
      <c r="D86" s="95">
        <f t="shared" si="3"/>
        <v>46209</v>
      </c>
      <c r="E86" s="95">
        <f t="shared" si="3"/>
        <v>48862</v>
      </c>
      <c r="F86" s="95">
        <f t="shared" si="3"/>
        <v>68284</v>
      </c>
      <c r="G86" s="95">
        <f t="shared" si="3"/>
        <v>80392</v>
      </c>
    </row>
    <row r="87" spans="1:7" x14ac:dyDescent="0.2">
      <c r="A87" s="17" t="s">
        <v>1028</v>
      </c>
      <c r="B87" s="19" t="s">
        <v>125</v>
      </c>
      <c r="C87" s="19" t="s">
        <v>126</v>
      </c>
      <c r="D87" s="19" t="s">
        <v>125</v>
      </c>
      <c r="E87" s="19" t="s">
        <v>126</v>
      </c>
      <c r="F87" s="19" t="s">
        <v>125</v>
      </c>
      <c r="G87" s="19" t="s">
        <v>126</v>
      </c>
    </row>
    <row r="88" spans="1:7" x14ac:dyDescent="0.2">
      <c r="A88" s="20" t="s">
        <v>213</v>
      </c>
      <c r="B88" s="96">
        <f>$B$75/SUM($B$75:$C$85)</f>
        <v>1.928315921635515E-2</v>
      </c>
      <c r="C88" s="96">
        <f>$C$75/SUM($B$75:$C$85)</f>
        <v>3.6718546419349491E-4</v>
      </c>
      <c r="D88" s="96">
        <f>$D$75/SUM($D$75:$E$85)</f>
        <v>1.1202154179507947E-2</v>
      </c>
      <c r="E88" s="96">
        <f>$E$75/SUM($D$75:$E$85)</f>
        <v>1.7229228681722081E-2</v>
      </c>
      <c r="F88" s="96">
        <f>$F$75/SUM($F$75:$G$85)</f>
        <v>3.3663805859721813E-2</v>
      </c>
      <c r="G88" s="96">
        <f>$G$75/SUM($F$75:$G$85)</f>
        <v>3.2197530199897767E-2</v>
      </c>
    </row>
    <row r="89" spans="1:7" x14ac:dyDescent="0.2">
      <c r="A89" s="20" t="s">
        <v>204</v>
      </c>
      <c r="B89" s="96">
        <f>$B$76/SUM($B$75:$C$85)</f>
        <v>0.19899083220808755</v>
      </c>
      <c r="C89" s="96">
        <f>$C$76/SUM($B$75:$C$85)</f>
        <v>7.3081752066898823E-3</v>
      </c>
      <c r="D89" s="96">
        <f>$D$76/SUM($D$75:$E$85)</f>
        <v>2.4949774379148217E-2</v>
      </c>
      <c r="E89" s="96">
        <f>$E$76/SUM($D$75:$E$85)</f>
        <v>3.1134625700792038E-2</v>
      </c>
      <c r="F89" s="96">
        <f>$F$76/SUM($F$75:$G$85)</f>
        <v>6.3238182356264633E-2</v>
      </c>
      <c r="G89" s="96">
        <f>$G$76/SUM($F$75:$G$85)</f>
        <v>8.2017272458231316E-2</v>
      </c>
    </row>
    <row r="90" spans="1:7" x14ac:dyDescent="0.2">
      <c r="A90" s="20" t="s">
        <v>205</v>
      </c>
      <c r="B90" s="96">
        <f>$B$77/SUM($B$75:$C$85)</f>
        <v>0.19520053064221923</v>
      </c>
      <c r="C90" s="96">
        <f>$C$77/SUM($B$75:$C$85)</f>
        <v>1.2839646554378983E-2</v>
      </c>
      <c r="D90" s="96">
        <f>$D$77/SUM($D$75:$E$85)</f>
        <v>2.3151118637649758E-2</v>
      </c>
      <c r="E90" s="96">
        <f>$E$77/SUM($D$75:$E$85)</f>
        <v>2.8368272133458151E-2</v>
      </c>
      <c r="F90" s="96">
        <f>$F$77/SUM($F$75:$G$85)</f>
        <v>3.1686351529500389E-2</v>
      </c>
      <c r="G90" s="96">
        <f>$G$77/SUM($F$75:$G$85)</f>
        <v>5.9518684925610049E-2</v>
      </c>
    </row>
    <row r="91" spans="1:7" x14ac:dyDescent="0.2">
      <c r="A91" s="20" t="s">
        <v>206</v>
      </c>
      <c r="B91" s="96">
        <f>$B$78/SUM($B$75:$C$85)</f>
        <v>0.15881363560988321</v>
      </c>
      <c r="C91" s="96">
        <f>$C$78/SUM($B$75:$C$85)</f>
        <v>1.7293250894274276E-2</v>
      </c>
      <c r="D91" s="96">
        <f>$D$78/SUM($D$75:$E$85)</f>
        <v>2.4486962375487795E-2</v>
      </c>
      <c r="E91" s="96">
        <f>$E$78/SUM($D$75:$E$85)</f>
        <v>3.187091752479726E-2</v>
      </c>
      <c r="F91" s="96">
        <f>$F$78/SUM($F$75:$G$85)</f>
        <v>2.4819069654819878E-2</v>
      </c>
      <c r="G91" s="96">
        <f>$G$78/SUM($F$75:$G$85)</f>
        <v>4.969867362587102E-2</v>
      </c>
    </row>
    <row r="92" spans="1:7" x14ac:dyDescent="0.2">
      <c r="A92" s="20" t="s">
        <v>207</v>
      </c>
      <c r="B92" s="96">
        <f>$B$79/SUM($B$75:$C$85)</f>
        <v>0.13293298273043849</v>
      </c>
      <c r="C92" s="96">
        <f>$C$79/SUM($B$75:$C$85)</f>
        <v>1.6629948120247318E-2</v>
      </c>
      <c r="D92" s="96">
        <f>$D$79/SUM($D$75:$E$85)</f>
        <v>3.2943799896919146E-2</v>
      </c>
      <c r="E92" s="96">
        <f>$E$79/SUM($D$75:$E$85)</f>
        <v>3.7656067570552537E-2</v>
      </c>
      <c r="F92" s="96">
        <f>$F$79/SUM($F$75:$G$85)</f>
        <v>2.8686539858484222E-2</v>
      </c>
      <c r="G92" s="96">
        <f>$G$79/SUM($F$75:$G$85)</f>
        <v>4.918749495547365E-2</v>
      </c>
    </row>
    <row r="93" spans="1:7" x14ac:dyDescent="0.2">
      <c r="A93" s="20" t="s">
        <v>208</v>
      </c>
      <c r="B93" s="96">
        <f>$B$80/SUM($B$75:$C$85)</f>
        <v>0.11071233980053538</v>
      </c>
      <c r="C93" s="96">
        <f>$C$80/SUM($B$75:$C$85)</f>
        <v>1.5516547035273495E-2</v>
      </c>
      <c r="D93" s="96">
        <f>$D$80/SUM($D$75:$E$85)</f>
        <v>4.8458520474171936E-2</v>
      </c>
      <c r="E93" s="96">
        <f>$E$80/SUM($D$75:$E$85)</f>
        <v>5.2707976144144901E-2</v>
      </c>
      <c r="F93" s="96">
        <f>$F$80/SUM($F$75:$G$85)</f>
        <v>4.2562350345718203E-2</v>
      </c>
      <c r="G93" s="96">
        <f>$G$80/SUM($F$75:$G$85)</f>
        <v>5.581263956522909E-2</v>
      </c>
    </row>
    <row r="94" spans="1:7" x14ac:dyDescent="0.2">
      <c r="A94" s="20" t="s">
        <v>209</v>
      </c>
      <c r="B94" s="96">
        <f>$B$81/SUM($B$75:$C$85)</f>
        <v>6.161608983014711E-2</v>
      </c>
      <c r="C94" s="96">
        <f>$C$81/SUM($B$75:$C$85)</f>
        <v>1.1216923696491602E-2</v>
      </c>
      <c r="D94" s="96">
        <f>$D$81/SUM($D$75:$E$85)</f>
        <v>6.0207634294369469E-2</v>
      </c>
      <c r="E94" s="96">
        <f>$E$81/SUM($D$75:$E$85)</f>
        <v>6.2458583584899703E-2</v>
      </c>
      <c r="F94" s="96">
        <f>$F$81/SUM($F$75:$G$85)</f>
        <v>5.0492345772014315E-2</v>
      </c>
      <c r="G94" s="96">
        <f>$G$81/SUM($F$75:$G$85)</f>
        <v>5.6626489816782803E-2</v>
      </c>
    </row>
    <row r="95" spans="1:7" x14ac:dyDescent="0.2">
      <c r="A95" s="20" t="s">
        <v>210</v>
      </c>
      <c r="B95" s="96">
        <f>$B$82/SUM($B$75:$C$85)</f>
        <v>2.3476180323596996E-2</v>
      </c>
      <c r="C95" s="96">
        <f>$C$82/SUM($B$75:$C$85)</f>
        <v>6.5145808163361999E-3</v>
      </c>
      <c r="D95" s="96">
        <f>$D$82/SUM($D$75:$E$85)</f>
        <v>7.4922952319845165E-2</v>
      </c>
      <c r="E95" s="96">
        <f>$E$82/SUM($D$75:$E$85)</f>
        <v>7.2093488024739402E-2</v>
      </c>
      <c r="F95" s="96">
        <f>$F$82/SUM($F$75:$G$85)</f>
        <v>5.6283462024805615E-2</v>
      </c>
      <c r="G95" s="96">
        <f>$G$82/SUM($F$75:$G$85)</f>
        <v>5.2765745648255265E-2</v>
      </c>
    </row>
    <row r="96" spans="1:7" x14ac:dyDescent="0.2">
      <c r="A96" s="20" t="s">
        <v>211</v>
      </c>
      <c r="B96" s="96">
        <f>$B$83/SUM($B$75:$C$85)</f>
        <v>5.2945774998223293E-3</v>
      </c>
      <c r="C96" s="96">
        <f>$C$83/SUM($B$75:$C$85)</f>
        <v>2.7716580200412193E-3</v>
      </c>
      <c r="D96" s="96">
        <f>$D$83/SUM($D$75:$E$85)</f>
        <v>7.9835070631422825E-2</v>
      </c>
      <c r="E96" s="96">
        <f>$E$83/SUM($D$75:$E$85)</f>
        <v>7.5133321412418089E-2</v>
      </c>
      <c r="F96" s="96">
        <f>$F$83/SUM($F$75:$G$85)</f>
        <v>5.2523608383330193E-2</v>
      </c>
      <c r="G96" s="96">
        <f>$G$83/SUM($F$75:$G$85)</f>
        <v>4.518550404907315E-2</v>
      </c>
    </row>
    <row r="97" spans="1:28" x14ac:dyDescent="0.2">
      <c r="A97" s="20" t="s">
        <v>212</v>
      </c>
      <c r="B97" s="96">
        <f>$B$84/SUM($B$75:$C$85)</f>
        <v>1.9188401677208444E-3</v>
      </c>
      <c r="C97" s="96">
        <f>$C$84/SUM($B$75:$C$85)</f>
        <v>1.2200033165138701E-3</v>
      </c>
      <c r="D97" s="96">
        <f>$D$84/SUM($D$75:$E$85)</f>
        <v>9.2572919186713093E-2</v>
      </c>
      <c r="E97" s="96">
        <f>$E$84/SUM($D$75:$E$85)</f>
        <v>8.9827602528636488E-2</v>
      </c>
      <c r="F97" s="96">
        <f>$F$84/SUM($F$75:$G$85)</f>
        <v>5.589335198687078E-2</v>
      </c>
      <c r="G97" s="96">
        <f>$G$84/SUM($F$75:$G$85)</f>
        <v>4.2717049153864782E-2</v>
      </c>
    </row>
    <row r="98" spans="1:28" x14ac:dyDescent="0.2">
      <c r="A98" s="21" t="s">
        <v>127</v>
      </c>
      <c r="B98" s="406">
        <f>$B$85/SUM($B$75:$C$85)</f>
        <v>5.9223461966692722E-5</v>
      </c>
      <c r="C98" s="406">
        <f>$C$85/SUM($B$75:$C$85)</f>
        <v>2.368938478667709E-5</v>
      </c>
      <c r="D98" s="406">
        <f>$D$85/SUM($D$75:$E$85)</f>
        <v>1.3316363559865785E-2</v>
      </c>
      <c r="E98" s="406">
        <f>$E$85/SUM($D$75:$E$85)</f>
        <v>1.5472646758738206E-2</v>
      </c>
      <c r="F98" s="406">
        <f>$F$85/SUM($F$75:$G$85)</f>
        <v>1.9431515510237026E-2</v>
      </c>
      <c r="G98" s="406">
        <f>$G$85/SUM($F$75:$G$85)</f>
        <v>1.4992332319944039E-2</v>
      </c>
    </row>
    <row r="100" spans="1:28" x14ac:dyDescent="0.2">
      <c r="A100" s="326" t="s">
        <v>822</v>
      </c>
      <c r="B100" s="325"/>
      <c r="C100" s="325"/>
      <c r="D100" s="325"/>
      <c r="E100" s="429" t="s">
        <v>519</v>
      </c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</row>
    <row r="101" spans="1:28" x14ac:dyDescent="0.2">
      <c r="A101" s="325"/>
      <c r="B101" s="325"/>
      <c r="C101" s="325"/>
      <c r="D101" s="325"/>
      <c r="E101" s="326" t="s">
        <v>830</v>
      </c>
      <c r="F101" s="328"/>
      <c r="G101" s="326" t="s">
        <v>265</v>
      </c>
      <c r="H101" s="325"/>
      <c r="I101" s="327" t="s">
        <v>100</v>
      </c>
      <c r="J101" s="327" t="s">
        <v>101</v>
      </c>
      <c r="K101" s="327" t="s">
        <v>102</v>
      </c>
      <c r="L101" s="327" t="s">
        <v>103</v>
      </c>
      <c r="M101" s="327" t="s">
        <v>104</v>
      </c>
      <c r="N101" s="327" t="s">
        <v>2</v>
      </c>
      <c r="O101" s="327" t="s">
        <v>105</v>
      </c>
      <c r="P101" s="327" t="s">
        <v>106</v>
      </c>
      <c r="Q101" s="327" t="s">
        <v>107</v>
      </c>
      <c r="R101" s="327" t="s">
        <v>108</v>
      </c>
      <c r="S101" s="327" t="s">
        <v>110</v>
      </c>
      <c r="T101" s="327" t="s">
        <v>111</v>
      </c>
      <c r="U101" s="327" t="s">
        <v>815</v>
      </c>
      <c r="V101" s="327" t="s">
        <v>903</v>
      </c>
      <c r="W101" s="327" t="s">
        <v>969</v>
      </c>
      <c r="X101" s="327" t="s">
        <v>983</v>
      </c>
      <c r="Y101" s="327" t="s">
        <v>984</v>
      </c>
      <c r="Z101" s="327" t="s">
        <v>985</v>
      </c>
      <c r="AA101" s="327" t="s">
        <v>986</v>
      </c>
      <c r="AB101" s="327" t="s">
        <v>987</v>
      </c>
    </row>
    <row r="102" spans="1:28" x14ac:dyDescent="0.2">
      <c r="A102" s="325"/>
      <c r="B102" s="325"/>
      <c r="C102" s="325"/>
      <c r="D102" s="325"/>
      <c r="E102" s="326" t="s">
        <v>831</v>
      </c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</row>
    <row r="103" spans="1:28" x14ac:dyDescent="0.2">
      <c r="A103" s="328" t="s">
        <v>833</v>
      </c>
      <c r="B103" s="325"/>
      <c r="C103" s="325"/>
      <c r="D103" s="325"/>
      <c r="E103" s="325"/>
      <c r="F103" s="325"/>
      <c r="G103" s="329">
        <f t="shared" ref="G103:G108" si="4">SUM(I103:Z103)</f>
        <v>0</v>
      </c>
      <c r="H103" s="325"/>
      <c r="I103" s="325"/>
      <c r="J103" s="325"/>
      <c r="K103" s="325"/>
      <c r="L103" s="325"/>
      <c r="M103" s="325"/>
      <c r="N103" s="325">
        <v>0</v>
      </c>
      <c r="O103" s="325">
        <v>0</v>
      </c>
      <c r="P103" s="325">
        <v>0</v>
      </c>
      <c r="Q103" s="325">
        <v>0</v>
      </c>
      <c r="R103" s="325"/>
      <c r="S103" s="325"/>
      <c r="T103" s="325"/>
      <c r="U103" s="325"/>
      <c r="V103" s="325"/>
    </row>
    <row r="104" spans="1:28" x14ac:dyDescent="0.2">
      <c r="A104" s="328" t="s">
        <v>1040</v>
      </c>
      <c r="B104" s="325"/>
      <c r="C104" s="325"/>
      <c r="D104" s="325"/>
      <c r="E104" s="330"/>
      <c r="F104" s="325"/>
      <c r="G104" s="431">
        <f t="shared" si="4"/>
        <v>0.91899999999999993</v>
      </c>
      <c r="H104" s="329"/>
      <c r="I104" s="329"/>
      <c r="J104" s="329"/>
      <c r="K104" s="329"/>
      <c r="L104" s="329"/>
      <c r="M104" s="325"/>
      <c r="N104" s="430">
        <v>2E-3</v>
      </c>
      <c r="O104" s="430">
        <v>0.40300000000000002</v>
      </c>
      <c r="P104" s="430">
        <v>0.20699999999999999</v>
      </c>
      <c r="Q104" s="430">
        <v>0.20699999999999999</v>
      </c>
      <c r="R104" s="430">
        <v>0.1</v>
      </c>
      <c r="S104" s="329"/>
      <c r="T104" s="329"/>
      <c r="U104" s="329"/>
      <c r="V104" s="329"/>
    </row>
    <row r="105" spans="1:28" x14ac:dyDescent="0.2">
      <c r="A105" s="328" t="s">
        <v>823</v>
      </c>
      <c r="B105" s="325"/>
      <c r="C105" s="325"/>
      <c r="D105" s="325"/>
      <c r="E105" s="430">
        <v>0.9</v>
      </c>
      <c r="F105" s="325"/>
      <c r="G105" s="431">
        <f t="shared" si="4"/>
        <v>1</v>
      </c>
      <c r="H105" s="329"/>
      <c r="I105" s="329"/>
      <c r="J105" s="329"/>
      <c r="K105" s="329"/>
      <c r="L105" s="329"/>
      <c r="M105" s="329"/>
      <c r="N105" s="430">
        <v>0</v>
      </c>
      <c r="O105" s="430">
        <v>0.1</v>
      </c>
      <c r="P105" s="430">
        <v>0.4</v>
      </c>
      <c r="Q105" s="430">
        <v>0.25</v>
      </c>
      <c r="R105" s="430">
        <v>0.25</v>
      </c>
      <c r="S105" s="432">
        <v>0</v>
      </c>
      <c r="T105" s="329"/>
      <c r="U105" s="329"/>
      <c r="V105" s="329"/>
    </row>
    <row r="106" spans="1:28" x14ac:dyDescent="0.2">
      <c r="A106" s="328" t="s">
        <v>824</v>
      </c>
      <c r="B106" s="325"/>
      <c r="C106" s="325"/>
      <c r="D106" s="325"/>
      <c r="E106" s="430">
        <v>0.9</v>
      </c>
      <c r="F106" s="325"/>
      <c r="G106" s="431">
        <f t="shared" si="4"/>
        <v>1</v>
      </c>
      <c r="H106" s="329"/>
      <c r="I106" s="329"/>
      <c r="J106" s="329"/>
      <c r="K106" s="329"/>
      <c r="L106" s="329"/>
      <c r="M106" s="329"/>
      <c r="N106" s="329"/>
      <c r="O106" s="430">
        <v>0</v>
      </c>
      <c r="P106" s="430">
        <v>0.1</v>
      </c>
      <c r="Q106" s="430">
        <v>0.4</v>
      </c>
      <c r="R106" s="430">
        <v>0.25</v>
      </c>
      <c r="S106" s="432">
        <v>0.25</v>
      </c>
      <c r="T106" s="432">
        <v>0</v>
      </c>
      <c r="U106" s="329"/>
      <c r="V106" s="329"/>
    </row>
    <row r="107" spans="1:28" x14ac:dyDescent="0.2">
      <c r="A107" s="328" t="s">
        <v>825</v>
      </c>
      <c r="B107" s="325"/>
      <c r="C107" s="325"/>
      <c r="D107" s="325"/>
      <c r="E107" s="430">
        <v>0.9</v>
      </c>
      <c r="F107" s="325"/>
      <c r="G107" s="431">
        <f t="shared" si="4"/>
        <v>0.9</v>
      </c>
      <c r="H107" s="329"/>
      <c r="I107" s="329"/>
      <c r="J107" s="329"/>
      <c r="K107" s="329"/>
      <c r="L107" s="329"/>
      <c r="M107" s="329"/>
      <c r="N107" s="329"/>
      <c r="O107" s="329"/>
      <c r="P107" s="430">
        <v>0</v>
      </c>
      <c r="Q107" s="430">
        <v>0.1</v>
      </c>
      <c r="R107" s="430">
        <v>0.3</v>
      </c>
      <c r="S107" s="432">
        <v>0.25</v>
      </c>
      <c r="T107" s="432">
        <v>0.25</v>
      </c>
      <c r="U107" s="432">
        <v>0</v>
      </c>
      <c r="V107" s="329"/>
    </row>
    <row r="108" spans="1:28" x14ac:dyDescent="0.2">
      <c r="A108" s="328" t="s">
        <v>826</v>
      </c>
      <c r="B108" s="325"/>
      <c r="C108" s="325"/>
      <c r="D108" s="325"/>
      <c r="E108" s="430">
        <f>ROUND(0.9*1.02^1,3)</f>
        <v>0.91800000000000004</v>
      </c>
      <c r="F108" s="325"/>
      <c r="G108" s="431">
        <f t="shared" si="4"/>
        <v>0.91800000000000004</v>
      </c>
      <c r="H108" s="329"/>
      <c r="I108" s="329"/>
      <c r="J108" s="329"/>
      <c r="K108" s="329"/>
      <c r="L108" s="329"/>
      <c r="M108" s="329"/>
      <c r="N108" s="329"/>
      <c r="O108" s="329"/>
      <c r="P108" s="329"/>
      <c r="Q108" s="430">
        <v>0</v>
      </c>
      <c r="R108" s="430">
        <v>0.1</v>
      </c>
      <c r="S108" s="432">
        <v>0.3</v>
      </c>
      <c r="T108" s="432">
        <v>0.25</v>
      </c>
      <c r="U108" s="432">
        <v>0.25</v>
      </c>
      <c r="V108" s="432">
        <v>1.7999999999999999E-2</v>
      </c>
    </row>
    <row r="109" spans="1:28" x14ac:dyDescent="0.2">
      <c r="A109" s="328" t="s">
        <v>827</v>
      </c>
      <c r="B109" s="325"/>
      <c r="C109" s="325"/>
      <c r="D109" s="325"/>
      <c r="E109" s="430">
        <f>ROUND(0.9*1.02^2,3)</f>
        <v>0.93600000000000005</v>
      </c>
      <c r="F109" s="325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430">
        <v>0</v>
      </c>
      <c r="S109" s="431">
        <f>ROUND($E$109/5,3)</f>
        <v>0.187</v>
      </c>
      <c r="T109" s="431">
        <f>ROUND($E$109/5,3)</f>
        <v>0.187</v>
      </c>
      <c r="U109" s="431">
        <f>ROUND($E$109/5,3)</f>
        <v>0.187</v>
      </c>
      <c r="V109" s="431">
        <f>ROUND($E$109/5,3)</f>
        <v>0.187</v>
      </c>
    </row>
    <row r="110" spans="1:28" x14ac:dyDescent="0.2">
      <c r="A110" s="328" t="s">
        <v>828</v>
      </c>
      <c r="B110" s="325"/>
      <c r="C110" s="325"/>
      <c r="D110" s="325"/>
      <c r="E110" s="430">
        <f>ROUND(0.9*1.02^3,3)</f>
        <v>0.95499999999999996</v>
      </c>
      <c r="F110" s="325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431">
        <f>ROUND($E$110/5,3)</f>
        <v>0.191</v>
      </c>
      <c r="T110" s="431">
        <f>ROUND($E$110/5,3)</f>
        <v>0.191</v>
      </c>
      <c r="U110" s="431">
        <f>ROUND($E$110/5,3)</f>
        <v>0.191</v>
      </c>
      <c r="V110" s="431">
        <f>ROUND($E$110/5,3)</f>
        <v>0.191</v>
      </c>
    </row>
    <row r="111" spans="1:28" x14ac:dyDescent="0.2">
      <c r="A111" s="328" t="s">
        <v>866</v>
      </c>
      <c r="B111" s="325"/>
      <c r="C111" s="325"/>
      <c r="D111" s="325"/>
      <c r="E111" s="430">
        <f>ROUND(0.9*1.02^4,3)</f>
        <v>0.97399999999999998</v>
      </c>
      <c r="F111" s="325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431">
        <f>ROUND($E$111/5,3)</f>
        <v>0.19500000000000001</v>
      </c>
      <c r="U111" s="431">
        <f>ROUND($E$111/5,3)</f>
        <v>0.19500000000000001</v>
      </c>
      <c r="V111" s="431">
        <f>ROUND($E$111/5,3)</f>
        <v>0.19500000000000001</v>
      </c>
    </row>
    <row r="112" spans="1:28" x14ac:dyDescent="0.2">
      <c r="A112" s="328" t="s">
        <v>982</v>
      </c>
      <c r="B112" s="325"/>
      <c r="C112" s="325"/>
      <c r="D112" s="325"/>
      <c r="E112" s="430">
        <f>ROUND(0.9*1.02^5,3)</f>
        <v>0.99399999999999999</v>
      </c>
      <c r="F112" s="325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431">
        <f>ROUND($E$112/5,3)</f>
        <v>0.19900000000000001</v>
      </c>
      <c r="V112" s="431">
        <f>ROUND($E$112/5,3)</f>
        <v>0.19900000000000001</v>
      </c>
    </row>
    <row r="113" spans="1:22" x14ac:dyDescent="0.2">
      <c r="A113" s="326" t="s">
        <v>829</v>
      </c>
      <c r="B113" s="325"/>
      <c r="C113" s="325"/>
      <c r="D113" s="325"/>
      <c r="E113" s="325"/>
      <c r="F113" s="325"/>
      <c r="G113" s="329"/>
      <c r="H113" s="329"/>
      <c r="I113" s="329"/>
      <c r="J113" s="329"/>
      <c r="K113" s="329"/>
      <c r="L113" s="330"/>
      <c r="M113" s="330"/>
      <c r="N113" s="430">
        <f t="shared" ref="N113:V113" si="5">SUM(N$103:N$112)</f>
        <v>2E-3</v>
      </c>
      <c r="O113" s="430">
        <f t="shared" si="5"/>
        <v>0.503</v>
      </c>
      <c r="P113" s="430">
        <f t="shared" si="5"/>
        <v>0.70699999999999996</v>
      </c>
      <c r="Q113" s="430">
        <f t="shared" si="5"/>
        <v>0.95699999999999996</v>
      </c>
      <c r="R113" s="430">
        <f t="shared" si="5"/>
        <v>0.99999999999999989</v>
      </c>
      <c r="S113" s="430">
        <f t="shared" si="5"/>
        <v>1.1780000000000002</v>
      </c>
      <c r="T113" s="430">
        <f t="shared" si="5"/>
        <v>1.0730000000000002</v>
      </c>
      <c r="U113" s="430">
        <f t="shared" si="5"/>
        <v>1.022</v>
      </c>
      <c r="V113" s="430">
        <f t="shared" si="5"/>
        <v>0.79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51" workbookViewId="0">
      <selection activeCell="C73" sqref="C73"/>
    </sheetView>
  </sheetViews>
  <sheetFormatPr defaultRowHeight="12.75" x14ac:dyDescent="0.2"/>
  <cols>
    <col min="1" max="1" width="40.7109375" customWidth="1"/>
    <col min="2" max="7" width="8.7109375" customWidth="1"/>
    <col min="10" max="10" width="10.140625" bestFit="1" customWidth="1"/>
    <col min="11" max="13" width="9" bestFit="1" customWidth="1"/>
    <col min="14" max="14" width="9.28515625" bestFit="1" customWidth="1"/>
  </cols>
  <sheetData>
    <row r="1" spans="1:7" ht="14.25" x14ac:dyDescent="0.2">
      <c r="A1" s="85" t="s">
        <v>784</v>
      </c>
      <c r="B1" s="130"/>
      <c r="F1" s="131">
        <v>6</v>
      </c>
      <c r="G1" s="85"/>
    </row>
    <row r="2" spans="1:7" x14ac:dyDescent="0.2">
      <c r="A2" s="132" t="s">
        <v>363</v>
      </c>
      <c r="B2" s="133">
        <f>$F$1</f>
        <v>6</v>
      </c>
      <c r="C2" s="134">
        <f>B$2+1</f>
        <v>7</v>
      </c>
      <c r="D2" s="134">
        <f>C$2+1</f>
        <v>8</v>
      </c>
      <c r="E2" s="134">
        <f>D$2+1</f>
        <v>9</v>
      </c>
      <c r="F2" s="134">
        <f>E$2+1</f>
        <v>10</v>
      </c>
      <c r="G2" s="134">
        <f>F$2+1</f>
        <v>11</v>
      </c>
    </row>
    <row r="3" spans="1:7" ht="15.75" x14ac:dyDescent="0.25">
      <c r="A3" s="135" t="s">
        <v>364</v>
      </c>
      <c r="B3" s="133"/>
      <c r="C3" s="134"/>
      <c r="D3" s="134"/>
      <c r="E3" s="134"/>
      <c r="F3" s="134"/>
      <c r="G3" s="134"/>
    </row>
    <row r="4" spans="1:7" x14ac:dyDescent="0.2">
      <c r="A4" s="85" t="s">
        <v>365</v>
      </c>
      <c r="B4" s="331" t="str">
        <f ca="1">OFFSET(Data!$A$2,0,1+B$2)</f>
        <v>11/12</v>
      </c>
      <c r="C4" s="137" t="str">
        <f ca="1">OFFSET(Data!$A$2,0,1+C$2)</f>
        <v>12/13</v>
      </c>
      <c r="D4" s="137" t="str">
        <f ca="1">OFFSET(Data!$A$2,0,1+D$2)</f>
        <v>13/14</v>
      </c>
      <c r="E4" s="137" t="str">
        <f ca="1">OFFSET(Data!$A$2,0,1+E$2)</f>
        <v>14/15</v>
      </c>
      <c r="F4" s="137" t="str">
        <f ca="1">OFFSET(Data!$A$2,0,1+F$2)</f>
        <v>15/16</v>
      </c>
      <c r="G4" s="137" t="str">
        <f ca="1">OFFSET(Data!$A$2,0,1+G$2)</f>
        <v>16/17</v>
      </c>
    </row>
    <row r="5" spans="1:7" ht="14.25" x14ac:dyDescent="0.2">
      <c r="A5" s="138" t="s">
        <v>366</v>
      </c>
      <c r="B5" s="133"/>
      <c r="C5" s="134"/>
      <c r="D5" s="134"/>
      <c r="E5" s="134"/>
      <c r="F5" s="134"/>
      <c r="G5" s="134"/>
    </row>
    <row r="6" spans="1:7" ht="14.25" x14ac:dyDescent="0.2">
      <c r="A6" s="138" t="s">
        <v>367</v>
      </c>
      <c r="B6" s="133"/>
      <c r="C6" s="134"/>
      <c r="D6" s="134"/>
      <c r="E6" s="134"/>
      <c r="F6" s="134"/>
      <c r="G6" s="134"/>
    </row>
    <row r="7" spans="1:7" ht="14.25" x14ac:dyDescent="0.2">
      <c r="A7" s="138"/>
      <c r="B7" s="133"/>
      <c r="C7" s="133"/>
      <c r="D7" s="133"/>
      <c r="E7" s="133"/>
      <c r="F7" s="133"/>
      <c r="G7" s="133"/>
    </row>
    <row r="8" spans="1:7" ht="14.25" x14ac:dyDescent="0.2">
      <c r="A8" s="138" t="s">
        <v>368</v>
      </c>
      <c r="B8" s="133"/>
      <c r="C8" s="134"/>
      <c r="D8" s="134"/>
      <c r="E8" s="134"/>
      <c r="F8" s="134"/>
      <c r="G8" s="134"/>
    </row>
    <row r="9" spans="1:7" x14ac:dyDescent="0.2">
      <c r="A9" s="50" t="s">
        <v>716</v>
      </c>
      <c r="B9" s="133"/>
      <c r="C9" s="323">
        <v>0</v>
      </c>
      <c r="D9" s="323">
        <v>0</v>
      </c>
      <c r="E9" s="323">
        <v>0</v>
      </c>
      <c r="F9" s="323">
        <v>0</v>
      </c>
      <c r="G9" s="323">
        <v>0</v>
      </c>
    </row>
    <row r="10" spans="1:7" x14ac:dyDescent="0.2">
      <c r="A10" s="50" t="s">
        <v>717</v>
      </c>
      <c r="B10" s="133"/>
      <c r="C10" s="323">
        <v>0</v>
      </c>
      <c r="D10" s="323">
        <v>0</v>
      </c>
      <c r="E10" s="323">
        <v>0</v>
      </c>
      <c r="F10" s="323">
        <v>0</v>
      </c>
      <c r="G10" s="323">
        <v>0</v>
      </c>
    </row>
    <row r="11" spans="1:7" x14ac:dyDescent="0.2">
      <c r="A11" s="50" t="s">
        <v>1000</v>
      </c>
      <c r="B11" s="133"/>
      <c r="C11" s="323">
        <v>0</v>
      </c>
      <c r="D11" s="323">
        <v>0</v>
      </c>
      <c r="E11" s="323">
        <v>0</v>
      </c>
      <c r="F11" s="323">
        <v>0</v>
      </c>
      <c r="G11" s="323">
        <v>0</v>
      </c>
    </row>
    <row r="12" spans="1:7" x14ac:dyDescent="0.2">
      <c r="A12" s="50" t="s">
        <v>880</v>
      </c>
      <c r="B12" s="133"/>
      <c r="C12" s="323">
        <v>0</v>
      </c>
      <c r="D12" s="323">
        <v>0</v>
      </c>
      <c r="E12" s="323">
        <v>0</v>
      </c>
      <c r="F12" s="323">
        <v>0</v>
      </c>
      <c r="G12" s="323">
        <v>0</v>
      </c>
    </row>
    <row r="13" spans="1:7" x14ac:dyDescent="0.2">
      <c r="A13" s="50" t="s">
        <v>881</v>
      </c>
      <c r="B13" s="133"/>
      <c r="C13" s="323">
        <v>0</v>
      </c>
      <c r="D13" s="323">
        <v>0</v>
      </c>
      <c r="E13" s="323">
        <v>0</v>
      </c>
      <c r="F13" s="323">
        <v>0</v>
      </c>
      <c r="G13" s="323">
        <v>0</v>
      </c>
    </row>
    <row r="14" spans="1:7" x14ac:dyDescent="0.2">
      <c r="A14" s="50" t="s">
        <v>1007</v>
      </c>
      <c r="B14" s="133"/>
      <c r="C14" s="323">
        <v>0</v>
      </c>
      <c r="D14" s="323">
        <v>0</v>
      </c>
      <c r="E14" s="323">
        <v>0</v>
      </c>
      <c r="F14" s="323">
        <v>0</v>
      </c>
      <c r="G14" s="323">
        <v>0</v>
      </c>
    </row>
    <row r="15" spans="1:7" x14ac:dyDescent="0.2">
      <c r="A15" s="50" t="s">
        <v>758</v>
      </c>
      <c r="B15" s="133"/>
      <c r="C15" s="323">
        <v>0</v>
      </c>
      <c r="D15" s="323">
        <v>0</v>
      </c>
      <c r="E15" s="323">
        <v>0</v>
      </c>
      <c r="F15" s="323">
        <v>0</v>
      </c>
      <c r="G15" s="323">
        <v>0</v>
      </c>
    </row>
    <row r="16" spans="1:7" x14ac:dyDescent="0.2">
      <c r="A16" s="50" t="s">
        <v>863</v>
      </c>
      <c r="B16" s="133"/>
      <c r="C16" s="323">
        <v>0</v>
      </c>
      <c r="D16" s="323">
        <v>0</v>
      </c>
      <c r="E16" s="323">
        <v>0</v>
      </c>
      <c r="F16" s="323">
        <v>0</v>
      </c>
      <c r="G16" s="323">
        <v>0</v>
      </c>
    </row>
    <row r="17" spans="1:7" x14ac:dyDescent="0.2">
      <c r="A17" s="50" t="s">
        <v>1021</v>
      </c>
      <c r="B17" s="133"/>
      <c r="C17" s="323">
        <v>0</v>
      </c>
      <c r="D17" s="323">
        <v>0</v>
      </c>
      <c r="E17" s="323">
        <v>0</v>
      </c>
      <c r="F17" s="323">
        <v>0</v>
      </c>
      <c r="G17" s="323">
        <v>0</v>
      </c>
    </row>
    <row r="18" spans="1:7" x14ac:dyDescent="0.2">
      <c r="A18" s="50" t="s">
        <v>1023</v>
      </c>
      <c r="B18" s="133"/>
      <c r="C18" s="323">
        <v>0</v>
      </c>
      <c r="D18" s="323">
        <v>0</v>
      </c>
      <c r="E18" s="323">
        <v>0</v>
      </c>
      <c r="F18" s="323">
        <v>0</v>
      </c>
      <c r="G18" s="323">
        <v>0</v>
      </c>
    </row>
    <row r="19" spans="1:7" x14ac:dyDescent="0.2">
      <c r="A19" s="50" t="s">
        <v>1022</v>
      </c>
      <c r="B19" s="133"/>
      <c r="C19" s="323">
        <v>0</v>
      </c>
      <c r="D19" s="323">
        <v>0</v>
      </c>
      <c r="E19" s="323">
        <v>0</v>
      </c>
      <c r="F19" s="323">
        <v>0</v>
      </c>
      <c r="G19" s="323">
        <v>0</v>
      </c>
    </row>
    <row r="20" spans="1:7" x14ac:dyDescent="0.2">
      <c r="A20" s="50" t="s">
        <v>805</v>
      </c>
      <c r="B20" s="133"/>
      <c r="C20" s="323">
        <v>0</v>
      </c>
      <c r="D20" s="323">
        <v>0</v>
      </c>
      <c r="E20" s="323">
        <v>0</v>
      </c>
      <c r="F20" s="323">
        <v>0</v>
      </c>
      <c r="G20" s="323">
        <v>0</v>
      </c>
    </row>
    <row r="21" spans="1:7" x14ac:dyDescent="0.2">
      <c r="A21" s="50" t="s">
        <v>885</v>
      </c>
      <c r="B21" s="133"/>
      <c r="C21" s="323">
        <v>0</v>
      </c>
      <c r="D21" s="323">
        <v>0</v>
      </c>
      <c r="E21" s="323">
        <v>0</v>
      </c>
      <c r="F21" s="323">
        <v>0</v>
      </c>
      <c r="G21" s="323">
        <v>0</v>
      </c>
    </row>
    <row r="22" spans="1:7" x14ac:dyDescent="0.2">
      <c r="A22" s="50" t="s">
        <v>887</v>
      </c>
      <c r="B22" s="133"/>
      <c r="C22" s="323">
        <v>0</v>
      </c>
      <c r="D22" s="323">
        <v>0</v>
      </c>
      <c r="E22" s="323">
        <v>0</v>
      </c>
      <c r="F22" s="323">
        <v>0</v>
      </c>
      <c r="G22" s="323">
        <v>0</v>
      </c>
    </row>
    <row r="23" spans="1:7" x14ac:dyDescent="0.2">
      <c r="A23" s="50" t="s">
        <v>886</v>
      </c>
      <c r="B23" s="133"/>
      <c r="C23" s="323">
        <v>0</v>
      </c>
      <c r="D23" s="323">
        <v>0</v>
      </c>
      <c r="E23" s="323">
        <v>0</v>
      </c>
      <c r="F23" s="323">
        <v>0</v>
      </c>
      <c r="G23" s="323">
        <v>0</v>
      </c>
    </row>
    <row r="24" spans="1:7" x14ac:dyDescent="0.2">
      <c r="A24" s="50" t="s">
        <v>891</v>
      </c>
      <c r="B24" s="133"/>
      <c r="C24" s="323">
        <v>0</v>
      </c>
      <c r="D24" s="323">
        <v>0</v>
      </c>
      <c r="E24" s="323">
        <v>0</v>
      </c>
      <c r="F24" s="323">
        <v>0</v>
      </c>
      <c r="G24" s="323">
        <v>0</v>
      </c>
    </row>
    <row r="25" spans="1:7" x14ac:dyDescent="0.2">
      <c r="A25" s="50" t="s">
        <v>963</v>
      </c>
      <c r="B25" s="133"/>
      <c r="C25" s="323">
        <v>0</v>
      </c>
      <c r="D25" s="323">
        <v>0</v>
      </c>
      <c r="E25" s="323">
        <v>0</v>
      </c>
      <c r="F25" s="323">
        <v>0</v>
      </c>
      <c r="G25" s="323">
        <v>0</v>
      </c>
    </row>
    <row r="26" spans="1:7" x14ac:dyDescent="0.2">
      <c r="A26" s="50" t="s">
        <v>973</v>
      </c>
      <c r="B26" s="133"/>
      <c r="C26" s="323">
        <v>0</v>
      </c>
      <c r="D26" s="323">
        <v>0</v>
      </c>
      <c r="E26" s="323">
        <v>0</v>
      </c>
      <c r="F26" s="323">
        <v>0</v>
      </c>
      <c r="G26" s="323">
        <v>0</v>
      </c>
    </row>
    <row r="27" spans="1:7" x14ac:dyDescent="0.2">
      <c r="A27" s="50" t="s">
        <v>996</v>
      </c>
      <c r="B27" s="133"/>
      <c r="C27" s="323">
        <v>0</v>
      </c>
      <c r="D27" s="323">
        <v>0</v>
      </c>
      <c r="E27" s="323">
        <v>0</v>
      </c>
      <c r="F27" s="323">
        <v>0</v>
      </c>
      <c r="G27" s="323">
        <v>0</v>
      </c>
    </row>
    <row r="28" spans="1:7" x14ac:dyDescent="0.2">
      <c r="A28" s="50" t="s">
        <v>968</v>
      </c>
      <c r="B28" s="133"/>
      <c r="C28" s="323">
        <v>0</v>
      </c>
      <c r="D28" s="323">
        <v>0</v>
      </c>
      <c r="E28" s="323">
        <v>0</v>
      </c>
      <c r="F28" s="323">
        <v>0</v>
      </c>
      <c r="G28" s="323">
        <v>0</v>
      </c>
    </row>
    <row r="29" spans="1:7" x14ac:dyDescent="0.2">
      <c r="A29" s="50" t="s">
        <v>967</v>
      </c>
      <c r="B29" s="133"/>
      <c r="C29" s="323">
        <v>0</v>
      </c>
      <c r="D29" s="323">
        <v>0</v>
      </c>
      <c r="E29" s="323">
        <v>0</v>
      </c>
      <c r="F29" s="323">
        <v>0</v>
      </c>
      <c r="G29" s="323">
        <v>0</v>
      </c>
    </row>
    <row r="30" spans="1:7" x14ac:dyDescent="0.2">
      <c r="A30" s="50" t="s">
        <v>965</v>
      </c>
      <c r="B30" s="133"/>
      <c r="C30" s="323">
        <v>0</v>
      </c>
      <c r="D30" s="323">
        <v>0</v>
      </c>
      <c r="E30" s="323">
        <v>0</v>
      </c>
      <c r="F30" s="323">
        <v>0</v>
      </c>
      <c r="G30" s="323">
        <v>0</v>
      </c>
    </row>
    <row r="31" spans="1:7" x14ac:dyDescent="0.2">
      <c r="A31" s="50" t="s">
        <v>966</v>
      </c>
      <c r="B31" s="133"/>
      <c r="C31" s="323">
        <v>0</v>
      </c>
      <c r="D31" s="323">
        <v>0</v>
      </c>
      <c r="E31" s="323">
        <v>0</v>
      </c>
      <c r="F31" s="323">
        <v>0</v>
      </c>
      <c r="G31" s="323">
        <v>0</v>
      </c>
    </row>
    <row r="32" spans="1:7" x14ac:dyDescent="0.2">
      <c r="A32" s="50" t="s">
        <v>804</v>
      </c>
      <c r="B32" s="133"/>
      <c r="C32" s="323">
        <v>0</v>
      </c>
      <c r="D32" s="323">
        <v>0</v>
      </c>
      <c r="E32" s="323">
        <v>0</v>
      </c>
      <c r="F32" s="323">
        <v>0</v>
      </c>
      <c r="G32" s="323">
        <v>0</v>
      </c>
    </row>
    <row r="33" spans="1:20" x14ac:dyDescent="0.2">
      <c r="A33" s="50" t="s">
        <v>813</v>
      </c>
      <c r="B33" s="133"/>
      <c r="C33" s="323">
        <v>0</v>
      </c>
      <c r="D33" s="323">
        <v>0</v>
      </c>
      <c r="E33" s="323">
        <v>0</v>
      </c>
      <c r="F33" s="323">
        <v>0</v>
      </c>
      <c r="G33" s="323">
        <v>0</v>
      </c>
    </row>
    <row r="34" spans="1:20" ht="14.25" x14ac:dyDescent="0.2">
      <c r="A34" s="138" t="s">
        <v>732</v>
      </c>
      <c r="B34" s="133"/>
      <c r="C34" s="134"/>
      <c r="D34" s="134"/>
      <c r="E34" s="134"/>
      <c r="F34" s="134"/>
      <c r="G34" s="134"/>
    </row>
    <row r="35" spans="1:20" x14ac:dyDescent="0.2">
      <c r="A35" s="50" t="s">
        <v>369</v>
      </c>
      <c r="B35" s="133"/>
      <c r="C35" s="323">
        <v>0</v>
      </c>
      <c r="D35" s="323">
        <v>0</v>
      </c>
      <c r="E35" s="323">
        <v>0</v>
      </c>
      <c r="F35" s="323">
        <v>0</v>
      </c>
      <c r="G35" s="323">
        <v>0</v>
      </c>
    </row>
    <row r="36" spans="1:20" ht="14.25" x14ac:dyDescent="0.2">
      <c r="A36" s="138" t="s">
        <v>370</v>
      </c>
      <c r="B36" s="133"/>
      <c r="C36" s="134"/>
      <c r="D36" s="134"/>
      <c r="E36" s="134"/>
      <c r="F36" s="134"/>
      <c r="G36" s="134"/>
    </row>
    <row r="37" spans="1:20" x14ac:dyDescent="0.2">
      <c r="A37" s="50" t="s">
        <v>371</v>
      </c>
      <c r="B37" s="133"/>
      <c r="C37" s="323">
        <v>0</v>
      </c>
      <c r="D37" s="323">
        <v>0</v>
      </c>
      <c r="E37" s="323">
        <v>0</v>
      </c>
      <c r="F37" s="323">
        <v>0</v>
      </c>
      <c r="G37" s="323">
        <v>0</v>
      </c>
    </row>
    <row r="38" spans="1:20" x14ac:dyDescent="0.2">
      <c r="A38" s="50" t="s">
        <v>1009</v>
      </c>
      <c r="B38" s="133"/>
      <c r="C38" s="323">
        <v>0</v>
      </c>
      <c r="D38" s="323">
        <v>0</v>
      </c>
      <c r="E38" s="323">
        <v>0</v>
      </c>
      <c r="F38" s="323">
        <v>0</v>
      </c>
      <c r="G38" s="323">
        <v>0</v>
      </c>
    </row>
    <row r="39" spans="1:20" x14ac:dyDescent="0.2">
      <c r="A39" s="50" t="s">
        <v>1010</v>
      </c>
      <c r="B39" s="133"/>
      <c r="C39" s="323">
        <v>0</v>
      </c>
      <c r="D39" s="323">
        <v>0</v>
      </c>
      <c r="E39" s="323">
        <v>0</v>
      </c>
      <c r="F39" s="323">
        <v>0</v>
      </c>
      <c r="G39" s="323">
        <v>0</v>
      </c>
    </row>
    <row r="40" spans="1:20" x14ac:dyDescent="0.2">
      <c r="A40" s="50" t="s">
        <v>860</v>
      </c>
      <c r="B40" s="133"/>
      <c r="C40" s="323">
        <v>0</v>
      </c>
      <c r="D40" s="323">
        <v>0</v>
      </c>
      <c r="E40" s="323">
        <v>0</v>
      </c>
      <c r="F40" s="323">
        <v>0</v>
      </c>
      <c r="G40" s="323">
        <v>0</v>
      </c>
    </row>
    <row r="41" spans="1:20" x14ac:dyDescent="0.2">
      <c r="A41" s="50" t="s">
        <v>372</v>
      </c>
      <c r="B41" s="133"/>
      <c r="C41" s="323">
        <v>0</v>
      </c>
      <c r="D41" s="323">
        <v>0</v>
      </c>
      <c r="E41" s="323">
        <v>0</v>
      </c>
      <c r="F41" s="323">
        <v>0</v>
      </c>
      <c r="G41" s="323">
        <v>0</v>
      </c>
    </row>
    <row r="42" spans="1:20" x14ac:dyDescent="0.2">
      <c r="A42" s="50" t="s">
        <v>373</v>
      </c>
      <c r="B42" s="133"/>
      <c r="C42" s="323">
        <v>0</v>
      </c>
      <c r="D42" s="323">
        <v>0</v>
      </c>
      <c r="E42" s="323">
        <v>0</v>
      </c>
      <c r="F42" s="323">
        <v>0</v>
      </c>
      <c r="G42" s="323">
        <v>0</v>
      </c>
    </row>
    <row r="43" spans="1:20" x14ac:dyDescent="0.2">
      <c r="A43" s="50" t="s">
        <v>918</v>
      </c>
      <c r="B43" s="133"/>
      <c r="C43" s="323">
        <v>0</v>
      </c>
      <c r="D43" s="323">
        <v>0</v>
      </c>
      <c r="E43" s="323">
        <v>0</v>
      </c>
      <c r="F43" s="323">
        <v>0</v>
      </c>
      <c r="G43" s="323">
        <v>0</v>
      </c>
    </row>
    <row r="44" spans="1:20" ht="15.75" x14ac:dyDescent="0.25">
      <c r="A44" s="135" t="s">
        <v>219</v>
      </c>
    </row>
    <row r="45" spans="1:20" x14ac:dyDescent="0.2">
      <c r="A45" s="85" t="s">
        <v>365</v>
      </c>
      <c r="B45" s="136" t="str">
        <f t="shared" ref="B45:G45" ca="1" si="0">B$4</f>
        <v>11/12</v>
      </c>
      <c r="C45" s="137" t="str">
        <f t="shared" ca="1" si="0"/>
        <v>12/13</v>
      </c>
      <c r="D45" s="137" t="str">
        <f t="shared" ca="1" si="0"/>
        <v>13/14</v>
      </c>
      <c r="E45" s="137" t="str">
        <f t="shared" ca="1" si="0"/>
        <v>14/15</v>
      </c>
      <c r="F45" s="137" t="str">
        <f t="shared" ca="1" si="0"/>
        <v>15/16</v>
      </c>
      <c r="G45" s="137" t="str">
        <f t="shared" ca="1" si="0"/>
        <v>16/17</v>
      </c>
      <c r="H45" s="137" t="s">
        <v>453</v>
      </c>
      <c r="I45" s="137" t="s">
        <v>454</v>
      </c>
      <c r="M45" s="136" t="str">
        <f t="shared" ref="M45:R45" ca="1" si="1">B$45</f>
        <v>11/12</v>
      </c>
      <c r="N45" s="137" t="str">
        <f t="shared" ca="1" si="1"/>
        <v>12/13</v>
      </c>
      <c r="O45" s="137" t="str">
        <f t="shared" ca="1" si="1"/>
        <v>13/14</v>
      </c>
      <c r="P45" s="137" t="str">
        <f t="shared" ca="1" si="1"/>
        <v>14/15</v>
      </c>
      <c r="Q45" s="137" t="str">
        <f t="shared" ca="1" si="1"/>
        <v>15/16</v>
      </c>
      <c r="R45" s="137" t="str">
        <f t="shared" ca="1" si="1"/>
        <v>16/17</v>
      </c>
      <c r="S45" s="137" t="s">
        <v>453</v>
      </c>
      <c r="T45" s="137" t="s">
        <v>454</v>
      </c>
    </row>
    <row r="46" spans="1:20" ht="14.25" x14ac:dyDescent="0.2">
      <c r="A46" s="138" t="s">
        <v>745</v>
      </c>
      <c r="B46" s="136"/>
      <c r="C46" s="137"/>
      <c r="D46" s="137"/>
      <c r="E46" s="137"/>
      <c r="F46" s="137"/>
      <c r="G46" s="137"/>
      <c r="M46" s="138" t="s">
        <v>746</v>
      </c>
    </row>
    <row r="47" spans="1:20" x14ac:dyDescent="0.2">
      <c r="A47" s="50" t="s">
        <v>155</v>
      </c>
      <c r="B47" s="76">
        <v>143.661</v>
      </c>
      <c r="C47" s="129">
        <v>147.26900000000001</v>
      </c>
      <c r="D47" s="129">
        <v>150.965</v>
      </c>
      <c r="E47" s="129">
        <v>155.36500000000001</v>
      </c>
      <c r="F47" s="129">
        <v>159.32400000000001</v>
      </c>
      <c r="G47" s="129">
        <v>162.82300000000001</v>
      </c>
      <c r="H47" s="129">
        <f ca="1">G47*S47/R47</f>
        <v>166.73099999999999</v>
      </c>
      <c r="I47" s="129">
        <f ca="1">H47*T47/S47</f>
        <v>170.816</v>
      </c>
      <c r="M47" s="76">
        <f ca="1">OFFSET(Data!$A$227,0,B$2+1)</f>
        <v>143.661</v>
      </c>
      <c r="N47" s="129">
        <f ca="1">OFFSET(Data!$A$227,0,C$2+1)</f>
        <v>147.26900000000001</v>
      </c>
      <c r="O47" s="129">
        <f ca="1">OFFSET(Data!$A$227,0,D$2+1)</f>
        <v>150.965</v>
      </c>
      <c r="P47" s="129">
        <f ca="1">OFFSET(Data!$A$227,0,E$2+1)</f>
        <v>155.36500000000001</v>
      </c>
      <c r="Q47" s="129">
        <f ca="1">OFFSET(Data!$A$227,0,F$2+1)</f>
        <v>159.32400000000001</v>
      </c>
      <c r="R47" s="129">
        <f ca="1">OFFSET(Data!$A$227,0,G$2+1)</f>
        <v>162.82300000000001</v>
      </c>
      <c r="S47" s="129">
        <f ca="1">OFFSET(Data!$A$227,0,$G$2+5)</f>
        <v>166.73099999999999</v>
      </c>
      <c r="T47" s="129">
        <f ca="1">OFFSET(Data!$A$227,0,$G$2+6)</f>
        <v>170.816</v>
      </c>
    </row>
    <row r="48" spans="1:20" x14ac:dyDescent="0.2">
      <c r="A48" s="50" t="s">
        <v>119</v>
      </c>
      <c r="B48" s="76">
        <v>208.46700000000001</v>
      </c>
      <c r="C48" s="129">
        <v>213.84399999999999</v>
      </c>
      <c r="D48" s="129">
        <v>227.892</v>
      </c>
      <c r="E48" s="129">
        <v>237.95400000000001</v>
      </c>
      <c r="F48" s="129">
        <v>248.00399999999999</v>
      </c>
      <c r="G48" s="129">
        <v>257.21899999999999</v>
      </c>
      <c r="M48" s="76">
        <f ca="1">OFFSET(Data!$A$228,0,B$2+1)</f>
        <v>208.46700000000001</v>
      </c>
      <c r="N48" s="129">
        <f ca="1">OFFSET(Data!$A$228,0,C$2+1)</f>
        <v>213.84399999999999</v>
      </c>
      <c r="O48" s="129">
        <f ca="1">OFFSET(Data!$A$228,0,D$2+1)</f>
        <v>227.892</v>
      </c>
      <c r="P48" s="129">
        <f ca="1">OFFSET(Data!$A$228,0,E$2+1)</f>
        <v>237.95400000000001</v>
      </c>
      <c r="Q48" s="129">
        <f ca="1">OFFSET(Data!$A$228,0,F$2+1)</f>
        <v>248.00399999999999</v>
      </c>
      <c r="R48" s="129">
        <f ca="1">OFFSET(Data!$A$228,0,G$2+1)</f>
        <v>257.21899999999999</v>
      </c>
    </row>
    <row r="49" spans="1:18" x14ac:dyDescent="0.2">
      <c r="A49" s="50" t="s">
        <v>120</v>
      </c>
      <c r="B49" s="251">
        <v>1168</v>
      </c>
      <c r="C49" s="433">
        <v>1180</v>
      </c>
      <c r="D49" s="433">
        <v>1202</v>
      </c>
      <c r="E49" s="433">
        <v>1224</v>
      </c>
      <c r="F49" s="433">
        <v>1251</v>
      </c>
      <c r="G49" s="433">
        <v>1279</v>
      </c>
      <c r="M49" s="251">
        <f ca="1">OFFSET(Data!$A$229,0,B$2+1)</f>
        <v>1168</v>
      </c>
      <c r="N49" s="252">
        <f ca="1">OFFSET(Data!$A$229,0,C$2+1)</f>
        <v>1180</v>
      </c>
      <c r="O49" s="252">
        <f ca="1">OFFSET(Data!$A$229,0,D$2+1)</f>
        <v>1202</v>
      </c>
      <c r="P49" s="252">
        <f ca="1">OFFSET(Data!$A$229,0,E$2+1)</f>
        <v>1224</v>
      </c>
      <c r="Q49" s="252">
        <f ca="1">OFFSET(Data!$A$229,0,F$2+1)</f>
        <v>1251</v>
      </c>
      <c r="R49" s="252">
        <f ca="1">OFFSET(Data!$A$229,0,G$2+1)</f>
        <v>1279</v>
      </c>
    </row>
    <row r="50" spans="1:18" x14ac:dyDescent="0.2">
      <c r="A50" s="50" t="s">
        <v>121</v>
      </c>
      <c r="B50" s="253">
        <v>2.3809999999999998</v>
      </c>
      <c r="C50" s="254">
        <v>2.3733</v>
      </c>
      <c r="D50" s="254">
        <v>2.4108000000000001</v>
      </c>
      <c r="E50" s="254">
        <v>2.4569999999999999</v>
      </c>
      <c r="F50" s="254">
        <v>2.4817999999999998</v>
      </c>
      <c r="G50" s="254">
        <v>2.5022000000000002</v>
      </c>
      <c r="M50" s="253">
        <f ca="1">OFFSET(Data!$A$230,0,B$2+1)</f>
        <v>2.3809999999999998</v>
      </c>
      <c r="N50" s="254">
        <f ca="1">OFFSET(Data!$A$230,0,C$2+1)</f>
        <v>2.3733</v>
      </c>
      <c r="O50" s="254">
        <f ca="1">OFFSET(Data!$A$230,0,D$2+1)</f>
        <v>2.4108000000000001</v>
      </c>
      <c r="P50" s="254">
        <f ca="1">OFFSET(Data!$A$230,0,E$2+1)</f>
        <v>2.4569999999999999</v>
      </c>
      <c r="Q50" s="254">
        <f ca="1">OFFSET(Data!$A$230,0,F$2+1)</f>
        <v>2.4817999999999998</v>
      </c>
      <c r="R50" s="254">
        <f ca="1">OFFSET(Data!$A$230,0,G$2+1)</f>
        <v>2.5022000000000002</v>
      </c>
    </row>
    <row r="51" spans="1:18" x14ac:dyDescent="0.2">
      <c r="A51" s="50" t="s">
        <v>122</v>
      </c>
      <c r="B51" s="255">
        <v>6.6000000000000003E-2</v>
      </c>
      <c r="C51" s="256">
        <v>7.0099999999999996E-2</v>
      </c>
      <c r="D51" s="256">
        <v>6.2E-2</v>
      </c>
      <c r="E51" s="256">
        <v>5.8900000000000001E-2</v>
      </c>
      <c r="F51" s="256">
        <v>5.5899999999999998E-2</v>
      </c>
      <c r="G51" s="256">
        <v>5.2600000000000001E-2</v>
      </c>
      <c r="M51" s="255">
        <f ca="1">OFFSET(Data!$A$232,0,B$2+1)</f>
        <v>6.6000000000000003E-2</v>
      </c>
      <c r="N51" s="256">
        <f ca="1">OFFSET(Data!$A$232,0,C$2+1)</f>
        <v>7.0099999999999996E-2</v>
      </c>
      <c r="O51" s="256">
        <f ca="1">OFFSET(Data!$A$232,0,D$2+1)</f>
        <v>6.2E-2</v>
      </c>
      <c r="P51" s="256">
        <f ca="1">OFFSET(Data!$A$232,0,E$2+1)</f>
        <v>5.8900000000000001E-2</v>
      </c>
      <c r="Q51" s="256">
        <f ca="1">OFFSET(Data!$A$232,0,F$2+1)</f>
        <v>5.5899999999999998E-2</v>
      </c>
      <c r="R51" s="256">
        <f ca="1">OFFSET(Data!$A$232,0,G$2+1)</f>
        <v>5.2600000000000001E-2</v>
      </c>
    </row>
    <row r="52" spans="1:18" x14ac:dyDescent="0.2">
      <c r="A52" s="50" t="s">
        <v>123</v>
      </c>
      <c r="B52" s="249">
        <v>33.25</v>
      </c>
      <c r="C52" s="250">
        <v>33.380000000000003</v>
      </c>
      <c r="D52" s="250">
        <v>33.51</v>
      </c>
      <c r="E52" s="250">
        <v>33.35</v>
      </c>
      <c r="F52" s="250">
        <v>33.299999999999997</v>
      </c>
      <c r="G52" s="250">
        <v>33.28</v>
      </c>
      <c r="M52" s="249">
        <f ca="1">OFFSET(Data!$A$233,0,B$2+1)</f>
        <v>33.25</v>
      </c>
      <c r="N52" s="250">
        <f ca="1">OFFSET(Data!$A$233,0,C$2+1)</f>
        <v>33.380000000000003</v>
      </c>
      <c r="O52" s="250">
        <f ca="1">OFFSET(Data!$A$233,0,D$2+1)</f>
        <v>33.51</v>
      </c>
      <c r="P52" s="250">
        <f ca="1">OFFSET(Data!$A$233,0,E$2+1)</f>
        <v>33.35</v>
      </c>
      <c r="Q52" s="250">
        <f ca="1">OFFSET(Data!$A$233,0,F$2+1)</f>
        <v>33.299999999999997</v>
      </c>
      <c r="R52" s="250">
        <f ca="1">OFFSET(Data!$A$233,0,G$2+1)</f>
        <v>33.28</v>
      </c>
    </row>
    <row r="53" spans="1:18" x14ac:dyDescent="0.2">
      <c r="A53" s="50" t="s">
        <v>190</v>
      </c>
      <c r="B53" s="255">
        <v>1.6500000000000001E-2</v>
      </c>
      <c r="C53" s="256">
        <v>2.92E-2</v>
      </c>
      <c r="D53" s="256">
        <v>-3.5999999999999999E-3</v>
      </c>
      <c r="E53" s="256">
        <v>1.12E-2</v>
      </c>
      <c r="F53" s="256">
        <v>1.35E-2</v>
      </c>
      <c r="G53" s="256">
        <v>1.0699999999999999E-2</v>
      </c>
      <c r="M53" s="255">
        <f ca="1">OFFSET(Data!$A$234,0,B$2+1)</f>
        <v>1.6500000000000001E-2</v>
      </c>
      <c r="N53" s="256">
        <f ca="1">OFFSET(Data!$A$234,0,C$2+1)</f>
        <v>2.92E-2</v>
      </c>
      <c r="O53" s="256">
        <f ca="1">OFFSET(Data!$A$234,0,D$2+1)</f>
        <v>-3.5999999999999999E-3</v>
      </c>
      <c r="P53" s="256">
        <f ca="1">OFFSET(Data!$A$234,0,E$2+1)</f>
        <v>1.12E-2</v>
      </c>
      <c r="Q53" s="256">
        <f ca="1">OFFSET(Data!$A$234,0,F$2+1)</f>
        <v>1.35E-2</v>
      </c>
      <c r="R53" s="256">
        <f ca="1">OFFSET(Data!$A$234,0,G$2+1)</f>
        <v>1.0699999999999999E-2</v>
      </c>
    </row>
    <row r="54" spans="1:18" x14ac:dyDescent="0.2">
      <c r="A54" s="50" t="s">
        <v>191</v>
      </c>
      <c r="B54" s="255">
        <v>3.1699999999999999E-2</v>
      </c>
      <c r="C54" s="256">
        <v>2.41E-2</v>
      </c>
      <c r="D54" s="256">
        <v>2.9000000000000001E-2</v>
      </c>
      <c r="E54" s="256">
        <v>2.3300000000000001E-2</v>
      </c>
      <c r="F54" s="256">
        <v>2.7199999999999998E-2</v>
      </c>
      <c r="G54" s="256">
        <v>3.2599999999999997E-2</v>
      </c>
      <c r="M54" s="255">
        <f ca="1">OFFSET(Data!$A$235,0,B$2+1)</f>
        <v>3.1699999999999999E-2</v>
      </c>
      <c r="N54" s="256">
        <f ca="1">OFFSET(Data!$A$235,0,C$2+1)</f>
        <v>2.41E-2</v>
      </c>
      <c r="O54" s="256">
        <f ca="1">OFFSET(Data!$A$235,0,D$2+1)</f>
        <v>2.9000000000000001E-2</v>
      </c>
      <c r="P54" s="256">
        <f ca="1">OFFSET(Data!$A$235,0,E$2+1)</f>
        <v>2.3300000000000001E-2</v>
      </c>
      <c r="Q54" s="256">
        <f ca="1">OFFSET(Data!$A$235,0,F$2+1)</f>
        <v>2.7199999999999998E-2</v>
      </c>
      <c r="R54" s="256">
        <f ca="1">OFFSET(Data!$A$235,0,G$2+1)</f>
        <v>3.2599999999999997E-2</v>
      </c>
    </row>
    <row r="55" spans="1:18" x14ac:dyDescent="0.2">
      <c r="A55" s="50" t="s">
        <v>192</v>
      </c>
      <c r="B55" s="247">
        <v>994.19</v>
      </c>
      <c r="C55" s="248">
        <v>1022.88</v>
      </c>
      <c r="D55" s="248">
        <v>1050.69</v>
      </c>
      <c r="E55" s="248">
        <v>1068.75</v>
      </c>
      <c r="F55" s="248">
        <v>1094.93</v>
      </c>
      <c r="G55" s="248">
        <v>1130.23</v>
      </c>
      <c r="M55" s="247">
        <f ca="1">OFFSET(Data!$A$236,0,B$2+1)</f>
        <v>994.19</v>
      </c>
      <c r="N55" s="248">
        <f ca="1">OFFSET(Data!$A$236,0,C$2+1)</f>
        <v>1022.88</v>
      </c>
      <c r="O55" s="248">
        <f ca="1">OFFSET(Data!$A$236,0,D$2+1)</f>
        <v>1050.69</v>
      </c>
      <c r="P55" s="248">
        <f ca="1">OFFSET(Data!$A$236,0,E$2+1)</f>
        <v>1068.75</v>
      </c>
      <c r="Q55" s="248">
        <f ca="1">OFFSET(Data!$A$236,0,F$2+1)</f>
        <v>1094.93</v>
      </c>
      <c r="R55" s="248">
        <f ca="1">OFFSET(Data!$A$236,0,G$2+1)</f>
        <v>1130.23</v>
      </c>
    </row>
    <row r="56" spans="1:18" x14ac:dyDescent="0.2">
      <c r="A56" s="50" t="s">
        <v>744</v>
      </c>
      <c r="B56" s="255">
        <v>3.5099999999999999E-2</v>
      </c>
      <c r="C56" s="256">
        <v>2.9100000000000001E-2</v>
      </c>
      <c r="D56" s="256">
        <v>3.3000000000000002E-2</v>
      </c>
      <c r="E56" s="256">
        <v>4.1000000000000002E-2</v>
      </c>
      <c r="F56" s="256">
        <v>4.7500000000000001E-2</v>
      </c>
      <c r="G56" s="256">
        <v>5.0299999999999997E-2</v>
      </c>
      <c r="M56" s="255">
        <f ca="1">OFFSET(Data!$A$237,0,B$2+1)</f>
        <v>3.5099999999999999E-2</v>
      </c>
      <c r="N56" s="256">
        <f ca="1">OFFSET(Data!$A$237,0,C$2+1)</f>
        <v>2.9100000000000001E-2</v>
      </c>
      <c r="O56" s="256">
        <f ca="1">OFFSET(Data!$A$237,0,D$2+1)</f>
        <v>3.3000000000000002E-2</v>
      </c>
      <c r="P56" s="256">
        <f ca="1">OFFSET(Data!$A$237,0,E$2+1)</f>
        <v>4.1000000000000002E-2</v>
      </c>
      <c r="Q56" s="256">
        <f ca="1">OFFSET(Data!$A$237,0,F$2+1)</f>
        <v>4.7500000000000001E-2</v>
      </c>
      <c r="R56" s="256">
        <f ca="1">OFFSET(Data!$A$237,0,G$2+1)</f>
        <v>5.0299999999999997E-2</v>
      </c>
    </row>
    <row r="57" spans="1:18" x14ac:dyDescent="0.2">
      <c r="A57" s="50" t="s">
        <v>935</v>
      </c>
      <c r="B57" s="253">
        <v>3.4786000000000001</v>
      </c>
      <c r="C57" s="254">
        <v>3.5076000000000001</v>
      </c>
      <c r="D57" s="254">
        <v>3.5444</v>
      </c>
      <c r="E57" s="254">
        <v>3.5847000000000002</v>
      </c>
      <c r="F57" s="254">
        <v>3.6244999999999998</v>
      </c>
      <c r="G57" s="254">
        <v>3.6623000000000001</v>
      </c>
      <c r="M57" s="253">
        <f ca="1">OFFSET(Data!$A$231,0,B$2+1)</f>
        <v>3.4786000000000001</v>
      </c>
      <c r="N57" s="254">
        <f ca="1">OFFSET(Data!$A$231,0,C$2+1)</f>
        <v>3.5076000000000001</v>
      </c>
      <c r="O57" s="254">
        <f ca="1">OFFSET(Data!$A$231,0,D$2+1)</f>
        <v>3.5444</v>
      </c>
      <c r="P57" s="254">
        <f ca="1">OFFSET(Data!$A$231,0,E$2+1)</f>
        <v>3.5847000000000002</v>
      </c>
      <c r="Q57" s="254">
        <f ca="1">OFFSET(Data!$A$231,0,F$2+1)</f>
        <v>3.6244999999999998</v>
      </c>
      <c r="R57" s="254">
        <f ca="1">OFFSET(Data!$A$231,0,G$2+1)</f>
        <v>3.6623000000000001</v>
      </c>
    </row>
    <row r="58" spans="1:18" ht="14.25" x14ac:dyDescent="0.2">
      <c r="A58" s="138" t="s">
        <v>759</v>
      </c>
      <c r="B58" s="136"/>
      <c r="C58" s="137"/>
      <c r="D58" s="137"/>
      <c r="E58" s="137"/>
      <c r="F58" s="137"/>
      <c r="G58" s="256"/>
      <c r="M58" s="138" t="s">
        <v>761</v>
      </c>
      <c r="N58" s="256"/>
      <c r="O58" s="256"/>
      <c r="P58" s="256"/>
      <c r="Q58" s="256"/>
      <c r="R58" s="256"/>
    </row>
    <row r="59" spans="1:18" x14ac:dyDescent="0.2">
      <c r="A59" s="50" t="s">
        <v>146</v>
      </c>
      <c r="B59" s="247">
        <v>813.32</v>
      </c>
      <c r="C59" s="248">
        <v>833.14</v>
      </c>
      <c r="D59" s="248">
        <v>852.07</v>
      </c>
      <c r="E59" s="248">
        <v>864.42</v>
      </c>
      <c r="F59" s="248">
        <v>882.36</v>
      </c>
      <c r="G59" s="248">
        <v>906.25</v>
      </c>
      <c r="M59" s="247">
        <f ca="1">OFFSET(Data!$A$222,0,B$2+1)</f>
        <v>813.32</v>
      </c>
      <c r="N59" s="248">
        <f ca="1">OFFSET(Data!$A$222,0,C$2+1)</f>
        <v>833.14</v>
      </c>
      <c r="O59" s="248">
        <f ca="1">OFFSET(Data!$A$222,0,D$2+1)</f>
        <v>852.07</v>
      </c>
      <c r="P59" s="248">
        <f ca="1">OFFSET(Data!$A$222,0,E$2+1)</f>
        <v>864.42</v>
      </c>
      <c r="Q59" s="248">
        <f ca="1">OFFSET(Data!$A$222,0,F$2+1)</f>
        <v>882.36</v>
      </c>
      <c r="R59" s="248">
        <f ca="1">OFFSET(Data!$A$222,0,G$2+1)</f>
        <v>906.25</v>
      </c>
    </row>
    <row r="60" spans="1:18" x14ac:dyDescent="0.2">
      <c r="A60" s="50" t="s">
        <v>760</v>
      </c>
      <c r="B60" s="247">
        <v>268.39999999999998</v>
      </c>
      <c r="C60" s="248">
        <v>274.94</v>
      </c>
      <c r="D60" s="248">
        <v>281.18</v>
      </c>
      <c r="E60" s="248">
        <v>285.95999999999998</v>
      </c>
      <c r="F60" s="248">
        <v>291.18</v>
      </c>
      <c r="G60" s="248">
        <v>299.06</v>
      </c>
      <c r="M60" s="247">
        <f ca="1">OFFSET(Data!$A$223,0,B$2+1)</f>
        <v>268.39999999999998</v>
      </c>
      <c r="N60" s="248">
        <f ca="1">OFFSET(Data!$A$223,0,C$2+1)</f>
        <v>274.94</v>
      </c>
      <c r="O60" s="248">
        <f ca="1">OFFSET(Data!$A$223,0,D$2+1)</f>
        <v>281.18</v>
      </c>
      <c r="P60" s="248">
        <f ca="1">OFFSET(Data!$A$223,0,E$2+1)</f>
        <v>285.95999999999998</v>
      </c>
      <c r="Q60" s="248">
        <f ca="1">OFFSET(Data!$A$223,0,F$2+1)</f>
        <v>291.18</v>
      </c>
      <c r="R60" s="248">
        <f ca="1">OFFSET(Data!$A$223,0,G$2+1)</f>
        <v>299.06</v>
      </c>
    </row>
    <row r="61" spans="1:18" x14ac:dyDescent="0.2">
      <c r="A61" s="50" t="s">
        <v>994</v>
      </c>
      <c r="B61" s="247">
        <v>302.39999999999998</v>
      </c>
      <c r="C61" s="248">
        <v>310.33999999999997</v>
      </c>
      <c r="D61" s="248">
        <v>317.8</v>
      </c>
      <c r="E61" s="248">
        <v>323.63</v>
      </c>
      <c r="F61" s="248">
        <v>330.08</v>
      </c>
      <c r="G61" s="248">
        <v>339.53</v>
      </c>
      <c r="M61" s="247">
        <f ca="1">OFFSET(Data!$A$224,0,B$2+1)</f>
        <v>302.39999999999998</v>
      </c>
      <c r="N61" s="248">
        <f ca="1">OFFSET(Data!$A$224,0,C$2+1)</f>
        <v>310.33999999999997</v>
      </c>
      <c r="O61" s="248">
        <f ca="1">OFFSET(Data!$A$224,0,D$2+1)</f>
        <v>317.8</v>
      </c>
      <c r="P61" s="248">
        <f ca="1">OFFSET(Data!$A$224,0,E$2+1)</f>
        <v>323.63</v>
      </c>
      <c r="Q61" s="248">
        <f ca="1">OFFSET(Data!$A$224,0,F$2+1)</f>
        <v>330.08</v>
      </c>
      <c r="R61" s="248">
        <f ca="1">OFFSET(Data!$A$224,0,G$2+1)</f>
        <v>339.53</v>
      </c>
    </row>
    <row r="62" spans="1:18" ht="15" x14ac:dyDescent="0.25">
      <c r="A62" s="139" t="s">
        <v>374</v>
      </c>
      <c r="B62" s="138" t="s">
        <v>375</v>
      </c>
      <c r="C62" s="50"/>
      <c r="D62" s="50"/>
      <c r="E62" s="73"/>
      <c r="F62" s="50"/>
      <c r="G62" s="73"/>
      <c r="I62" s="247"/>
      <c r="J62" s="248"/>
      <c r="K62" s="248"/>
      <c r="L62" s="248"/>
      <c r="M62" s="248"/>
      <c r="N62" s="248"/>
    </row>
    <row r="63" spans="1:18" ht="14.25" x14ac:dyDescent="0.2">
      <c r="A63" s="140" t="s">
        <v>376</v>
      </c>
      <c r="B63" s="136" t="str">
        <f t="shared" ref="B63:G63" ca="1" si="2">B$45</f>
        <v>11/12</v>
      </c>
      <c r="C63" s="137" t="str">
        <f t="shared" ca="1" si="2"/>
        <v>12/13</v>
      </c>
      <c r="D63" s="137" t="str">
        <f t="shared" ca="1" si="2"/>
        <v>13/14</v>
      </c>
      <c r="E63" s="137" t="str">
        <f t="shared" ca="1" si="2"/>
        <v>14/15</v>
      </c>
      <c r="F63" s="137" t="str">
        <f t="shared" ca="1" si="2"/>
        <v>15/16</v>
      </c>
      <c r="G63" s="137" t="str">
        <f t="shared" ca="1" si="2"/>
        <v>16/17</v>
      </c>
      <c r="I63" s="247"/>
      <c r="J63" s="248"/>
      <c r="K63" s="248"/>
      <c r="L63" s="248"/>
      <c r="M63" s="248"/>
      <c r="N63" s="248"/>
    </row>
    <row r="64" spans="1:18" x14ac:dyDescent="0.2">
      <c r="A64" s="50" t="s">
        <v>762</v>
      </c>
      <c r="B64" s="136"/>
      <c r="C64" s="116">
        <f ca="1">(C$48/B$48) /(N$48/M$48)</f>
        <v>1</v>
      </c>
      <c r="D64" s="116">
        <f ca="1">(D$48/C$48) /(O$48/N$48)</f>
        <v>1</v>
      </c>
      <c r="E64" s="116">
        <f ca="1">(E$48/D$48) /(P$48/O$48)</f>
        <v>1</v>
      </c>
      <c r="F64" s="116">
        <f ca="1">(F$48/E$48) /(Q$48/P$48)</f>
        <v>1</v>
      </c>
      <c r="G64" s="116">
        <f ca="1">(G$48/F$48) /(R$48/Q$48)</f>
        <v>1</v>
      </c>
      <c r="I64" s="247"/>
      <c r="J64" s="248"/>
      <c r="K64" s="248"/>
      <c r="L64" s="248"/>
      <c r="M64" s="248"/>
      <c r="N64" s="248"/>
    </row>
    <row r="65" spans="1:31" x14ac:dyDescent="0.2">
      <c r="A65" s="50" t="s">
        <v>763</v>
      </c>
      <c r="B65" s="136"/>
      <c r="C65" s="116">
        <f ca="1">PRODUCT($C$64:C$64)</f>
        <v>1</v>
      </c>
      <c r="D65" s="116">
        <f ca="1">PRODUCT($C$64:D$64)</f>
        <v>1</v>
      </c>
      <c r="E65" s="116">
        <f ca="1">PRODUCT($C$64:E$64)</f>
        <v>1</v>
      </c>
      <c r="F65" s="116">
        <f ca="1">PRODUCT($C$64:F$64)</f>
        <v>1</v>
      </c>
      <c r="G65" s="116">
        <f ca="1">PRODUCT($C$64:G$64)</f>
        <v>1</v>
      </c>
      <c r="I65" s="247"/>
      <c r="J65" s="248"/>
      <c r="K65" s="248"/>
      <c r="L65" s="248"/>
      <c r="M65" s="248"/>
      <c r="N65" s="248"/>
    </row>
    <row r="66" spans="1:31" x14ac:dyDescent="0.2">
      <c r="A66" s="50" t="s">
        <v>765</v>
      </c>
      <c r="B66" s="136"/>
      <c r="C66" s="116">
        <f ca="1">(C$49/B$49) /(N$49/M$49)</f>
        <v>1</v>
      </c>
      <c r="D66" s="116">
        <f ca="1">(D$49/C$49) /(O$49/N$49)</f>
        <v>1</v>
      </c>
      <c r="E66" s="116">
        <f ca="1">(E$49/D$49) /(P$49/O$49)</f>
        <v>1</v>
      </c>
      <c r="F66" s="116">
        <f ca="1">(F$49/E$49) /(Q$49/P$49)</f>
        <v>1</v>
      </c>
      <c r="G66" s="116">
        <f ca="1">(G$49/F$49) /(R$49/Q$49)</f>
        <v>1</v>
      </c>
      <c r="I66" s="247"/>
      <c r="J66" s="248"/>
      <c r="K66" s="248"/>
      <c r="L66" s="248"/>
      <c r="M66" s="248"/>
      <c r="N66" s="248"/>
    </row>
    <row r="67" spans="1:31" x14ac:dyDescent="0.2">
      <c r="A67" s="50" t="s">
        <v>766</v>
      </c>
      <c r="B67" s="136"/>
      <c r="C67" s="116">
        <f ca="1">PRODUCT($C$66:C$66)</f>
        <v>1</v>
      </c>
      <c r="D67" s="116">
        <f ca="1">PRODUCT($C$66:D$66)</f>
        <v>1</v>
      </c>
      <c r="E67" s="116">
        <f ca="1">PRODUCT($C$66:E$66)</f>
        <v>1</v>
      </c>
      <c r="F67" s="116">
        <f ca="1">PRODUCT($C$66:F$66)</f>
        <v>1</v>
      </c>
      <c r="G67" s="116">
        <f ca="1">PRODUCT($C$66:G$66)</f>
        <v>1</v>
      </c>
      <c r="I67" s="247"/>
      <c r="J67" s="248"/>
      <c r="K67" s="248"/>
      <c r="L67" s="248"/>
      <c r="M67" s="248"/>
      <c r="N67" s="248"/>
    </row>
    <row r="68" spans="1:31" x14ac:dyDescent="0.2">
      <c r="A68" s="50" t="s">
        <v>764</v>
      </c>
      <c r="B68" s="136"/>
      <c r="C68" s="116">
        <f ca="1">C$56/N$56</f>
        <v>1</v>
      </c>
      <c r="D68" s="116">
        <f ca="1">D$56/O$56</f>
        <v>1</v>
      </c>
      <c r="E68" s="116">
        <f ca="1">E$56/P$56</f>
        <v>1</v>
      </c>
      <c r="F68" s="116">
        <f ca="1">F$56/Q$56</f>
        <v>1</v>
      </c>
      <c r="G68" s="116">
        <f ca="1">G$56/R$56</f>
        <v>1</v>
      </c>
      <c r="I68" s="247"/>
      <c r="J68" s="248"/>
      <c r="K68" s="248"/>
      <c r="L68" s="248"/>
      <c r="M68" s="248"/>
      <c r="N68" s="248"/>
    </row>
    <row r="69" spans="1:31" x14ac:dyDescent="0.2">
      <c r="A69" s="50" t="s">
        <v>781</v>
      </c>
      <c r="B69" s="136"/>
      <c r="C69" s="116">
        <f ca="1">(1+C$53)/(1+N$53)</f>
        <v>1</v>
      </c>
      <c r="D69" s="116">
        <f ca="1">(1+D$53)/(1+O$53)</f>
        <v>1</v>
      </c>
      <c r="E69" s="116">
        <f ca="1">(1+E$53)/(1+P$53)</f>
        <v>1</v>
      </c>
      <c r="F69" s="116">
        <f ca="1">(1+F$53)/(1+Q$53)</f>
        <v>1</v>
      </c>
      <c r="G69" s="116">
        <f ca="1">(1+G$53)/(1+R$53)</f>
        <v>1</v>
      </c>
      <c r="I69" s="247"/>
      <c r="J69" s="248"/>
      <c r="K69" s="248"/>
      <c r="L69" s="248"/>
      <c r="M69" s="248"/>
      <c r="N69" s="248"/>
    </row>
    <row r="70" spans="1:31" x14ac:dyDescent="0.2">
      <c r="A70" s="50" t="s">
        <v>782</v>
      </c>
      <c r="B70" s="136"/>
      <c r="C70" s="116">
        <f ca="1">PRODUCT($C$69:C$69)</f>
        <v>1</v>
      </c>
      <c r="D70" s="116">
        <f ca="1">PRODUCT($C$69:D$69)</f>
        <v>1</v>
      </c>
      <c r="E70" s="116">
        <f ca="1">PRODUCT($C$69:E$69)</f>
        <v>1</v>
      </c>
      <c r="F70" s="116">
        <f ca="1">PRODUCT($C$69:F$69)</f>
        <v>1</v>
      </c>
      <c r="G70" s="116">
        <f ca="1">PRODUCT($C$69:G$69)</f>
        <v>1</v>
      </c>
      <c r="I70" s="247"/>
      <c r="J70" s="248"/>
      <c r="K70" s="248"/>
      <c r="L70" s="248"/>
      <c r="M70" s="248"/>
      <c r="N70" s="248"/>
    </row>
    <row r="71" spans="1:31" x14ac:dyDescent="0.2">
      <c r="A71" s="50" t="s">
        <v>783</v>
      </c>
      <c r="B71" s="136"/>
      <c r="C71" s="116">
        <f ca="1">(1+C$54) /(1+N$54)</f>
        <v>1</v>
      </c>
      <c r="D71" s="116">
        <f ca="1">(1+D$54) /(1+O$54)</f>
        <v>1</v>
      </c>
      <c r="E71" s="116">
        <f ca="1">(1+E$54) /(1+P$54)</f>
        <v>1</v>
      </c>
      <c r="F71" s="116">
        <f ca="1">(1+F$54) /(1+Q$54)</f>
        <v>1</v>
      </c>
      <c r="G71" s="116">
        <f ca="1">(1+G$54) /(1+R$54)</f>
        <v>1</v>
      </c>
      <c r="I71" s="247"/>
      <c r="J71" s="248"/>
      <c r="K71" s="248"/>
      <c r="L71" s="248"/>
      <c r="M71" s="248"/>
      <c r="N71" s="248"/>
    </row>
    <row r="72" spans="1:31" x14ac:dyDescent="0.2">
      <c r="A72" s="50" t="s">
        <v>767</v>
      </c>
      <c r="B72" s="136"/>
      <c r="C72" s="116">
        <f ca="1">PRODUCT($C$71:C$71)</f>
        <v>1</v>
      </c>
      <c r="D72" s="116">
        <f ca="1">PRODUCT($C$71:D$71)</f>
        <v>1</v>
      </c>
      <c r="E72" s="116">
        <f ca="1">PRODUCT($C$71:E$71)</f>
        <v>1</v>
      </c>
      <c r="F72" s="116">
        <f ca="1">PRODUCT($C$71:F$71)</f>
        <v>1</v>
      </c>
      <c r="G72" s="116">
        <f ca="1">PRODUCT($C$71:G$71)</f>
        <v>1</v>
      </c>
      <c r="I72" s="247"/>
      <c r="J72" s="248"/>
      <c r="K72" s="248"/>
      <c r="L72" s="248"/>
      <c r="M72" s="248"/>
      <c r="N72" s="248"/>
      <c r="P72" s="248"/>
    </row>
    <row r="73" spans="1:31" x14ac:dyDescent="0.2">
      <c r="A73" s="50" t="s">
        <v>1084</v>
      </c>
      <c r="B73" s="136"/>
      <c r="C73" s="116">
        <f ca="1">(C$50*C$51)/(N$50*N$51)</f>
        <v>1</v>
      </c>
      <c r="D73" s="116">
        <f ca="1">(D$50*D$51)/(O$50*O$51)</f>
        <v>1</v>
      </c>
      <c r="E73" s="116">
        <f ca="1">(E$50*E$51)/(P$50*P$51)</f>
        <v>1</v>
      </c>
      <c r="F73" s="116">
        <f ca="1">(F$50*F$51)/(Q$50*Q$51)</f>
        <v>1</v>
      </c>
      <c r="G73" s="116">
        <f ca="1">(G$50*G$51)/(R$50*R$51)</f>
        <v>1</v>
      </c>
      <c r="I73" s="247"/>
      <c r="J73" s="248"/>
      <c r="K73" s="248"/>
      <c r="L73" s="248"/>
      <c r="M73" s="248"/>
      <c r="N73" s="248"/>
      <c r="P73" s="248"/>
    </row>
    <row r="74" spans="1:31" x14ac:dyDescent="0.2">
      <c r="A74" s="50" t="s">
        <v>747</v>
      </c>
      <c r="B74" s="247"/>
      <c r="C74" s="141">
        <f ca="1">100*(C$56-N$56)</f>
        <v>0</v>
      </c>
      <c r="D74" s="141">
        <f ca="1">100*(D$56-O$56)</f>
        <v>0</v>
      </c>
      <c r="E74" s="141">
        <f ca="1">100*(E$56-P$56)</f>
        <v>0</v>
      </c>
      <c r="F74" s="141">
        <f ca="1">100*(F$56-Q$56)</f>
        <v>0</v>
      </c>
      <c r="G74" s="141">
        <f ca="1">100*(G$56-R$56)</f>
        <v>0</v>
      </c>
      <c r="I74" s="247"/>
      <c r="J74" s="248"/>
      <c r="K74" s="248"/>
      <c r="L74" s="248"/>
      <c r="M74" s="248"/>
      <c r="N74" s="248"/>
    </row>
    <row r="75" spans="1:31" x14ac:dyDescent="0.2">
      <c r="A75" s="50"/>
      <c r="I75" s="247"/>
      <c r="J75" s="248"/>
      <c r="K75" s="248"/>
      <c r="L75" s="248"/>
      <c r="M75" s="248"/>
      <c r="N75" s="248"/>
    </row>
    <row r="76" spans="1:31" x14ac:dyDescent="0.2">
      <c r="A76" s="50"/>
    </row>
    <row r="77" spans="1:31" x14ac:dyDescent="0.2">
      <c r="A77" s="50"/>
      <c r="B77" s="257"/>
      <c r="E77" s="248"/>
      <c r="F77" s="248"/>
      <c r="G77" s="248"/>
      <c r="I77" s="247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</row>
    <row r="78" spans="1:31" ht="15.75" x14ac:dyDescent="0.25">
      <c r="A78" s="319" t="s">
        <v>734</v>
      </c>
      <c r="B78" s="257"/>
    </row>
    <row r="79" spans="1:31" ht="18.75" x14ac:dyDescent="0.3">
      <c r="A79" s="237" t="s">
        <v>402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</row>
    <row r="80" spans="1:31" x14ac:dyDescent="0.2">
      <c r="A80" s="239" t="s">
        <v>519</v>
      </c>
      <c r="B80" s="238" t="s">
        <v>327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</row>
    <row r="81" spans="1:31" x14ac:dyDescent="0.2">
      <c r="A81" s="238"/>
      <c r="B81" s="238"/>
      <c r="C81" s="240" t="s">
        <v>437</v>
      </c>
      <c r="D81" s="240" t="s">
        <v>438</v>
      </c>
      <c r="E81" s="240" t="s">
        <v>439</v>
      </c>
      <c r="F81" s="240" t="s">
        <v>440</v>
      </c>
      <c r="G81" s="240" t="s">
        <v>441</v>
      </c>
      <c r="H81" s="240" t="s">
        <v>442</v>
      </c>
      <c r="I81" s="240" t="s">
        <v>443</v>
      </c>
      <c r="J81" s="240" t="s">
        <v>444</v>
      </c>
      <c r="K81" s="240" t="s">
        <v>445</v>
      </c>
      <c r="L81" s="240" t="s">
        <v>446</v>
      </c>
      <c r="M81" s="240" t="s">
        <v>447</v>
      </c>
      <c r="N81" s="241" t="s">
        <v>448</v>
      </c>
      <c r="O81" s="241" t="s">
        <v>449</v>
      </c>
      <c r="P81" s="241" t="s">
        <v>450</v>
      </c>
      <c r="Q81" s="241" t="s">
        <v>451</v>
      </c>
      <c r="R81" s="241" t="s">
        <v>452</v>
      </c>
      <c r="S81" s="242" t="s">
        <v>453</v>
      </c>
      <c r="T81" s="242" t="s">
        <v>454</v>
      </c>
      <c r="U81" s="242" t="s">
        <v>455</v>
      </c>
      <c r="V81" s="242" t="s">
        <v>456</v>
      </c>
      <c r="W81" s="242" t="s">
        <v>457</v>
      </c>
      <c r="X81" s="242" t="s">
        <v>458</v>
      </c>
      <c r="Y81" s="242" t="s">
        <v>459</v>
      </c>
      <c r="Z81" s="242" t="s">
        <v>460</v>
      </c>
      <c r="AA81" s="242" t="s">
        <v>461</v>
      </c>
      <c r="AB81" s="242" t="s">
        <v>462</v>
      </c>
      <c r="AC81" s="242" t="s">
        <v>463</v>
      </c>
      <c r="AD81" s="242" t="s">
        <v>464</v>
      </c>
      <c r="AE81" s="242" t="s">
        <v>465</v>
      </c>
    </row>
    <row r="82" spans="1:31" x14ac:dyDescent="0.2">
      <c r="A82" s="243" t="s">
        <v>506</v>
      </c>
      <c r="B82" s="238"/>
      <c r="C82" s="244">
        <v>0.6</v>
      </c>
      <c r="D82" s="244">
        <v>1.2</v>
      </c>
      <c r="E82" s="244">
        <v>1.8789999999999996</v>
      </c>
      <c r="F82" s="244">
        <v>2.1070000000000002</v>
      </c>
      <c r="G82" s="244">
        <v>2.3369999999999997</v>
      </c>
      <c r="H82" s="244">
        <v>2.0489999999999999</v>
      </c>
      <c r="I82" s="244">
        <v>2.1040000000000001</v>
      </c>
      <c r="J82" s="244">
        <v>2.2429999999999999</v>
      </c>
      <c r="K82" s="244">
        <v>0.25</v>
      </c>
      <c r="L82" s="244">
        <v>0</v>
      </c>
      <c r="M82" s="244">
        <v>0</v>
      </c>
      <c r="N82" s="245">
        <v>0</v>
      </c>
      <c r="O82" s="245">
        <v>0</v>
      </c>
      <c r="P82" s="245">
        <v>0</v>
      </c>
      <c r="Q82" s="245">
        <v>0</v>
      </c>
      <c r="R82" s="245">
        <v>0</v>
      </c>
      <c r="S82" s="246">
        <v>0</v>
      </c>
      <c r="T82" s="246">
        <v>0</v>
      </c>
      <c r="U82" s="246">
        <v>0</v>
      </c>
      <c r="V82" s="246">
        <v>2.6749999999999998</v>
      </c>
      <c r="W82" s="246">
        <v>2.54</v>
      </c>
      <c r="X82" s="246">
        <v>2.4009999999999998</v>
      </c>
      <c r="Y82" s="246">
        <v>2.2050000000000001</v>
      </c>
      <c r="Z82" s="246">
        <v>1.9890000000000001</v>
      </c>
      <c r="AA82" s="246">
        <v>1.716</v>
      </c>
      <c r="AB82" s="246">
        <v>1.407</v>
      </c>
      <c r="AC82" s="246">
        <v>1.0369999999999999</v>
      </c>
      <c r="AD82" s="246">
        <v>0.67500000000000004</v>
      </c>
      <c r="AE82" s="246">
        <v>0.34100000000000003</v>
      </c>
    </row>
    <row r="83" spans="1:31" x14ac:dyDescent="0.2">
      <c r="A83" s="243" t="s">
        <v>516</v>
      </c>
      <c r="B83" s="238"/>
      <c r="C83" s="244">
        <v>1.4999999999999999E-2</v>
      </c>
      <c r="D83" s="244">
        <v>6.9000000000000006E-2</v>
      </c>
      <c r="E83" s="244">
        <f>0.131+0.146-0.007</f>
        <v>0.27</v>
      </c>
      <c r="F83" s="244">
        <f>0.191+0.557-0.022</f>
        <v>0.72599999999999998</v>
      </c>
      <c r="G83" s="244">
        <f>0.359+1.13-0.052</f>
        <v>1.4369999999999998</v>
      </c>
      <c r="H83" s="244">
        <f>0.436+1.313-(0.119-0.171)</f>
        <v>1.8009999999999999</v>
      </c>
      <c r="I83" s="244">
        <f>0.385+(-0.995)-(0.097-0.063)</f>
        <v>-0.64400000000000002</v>
      </c>
      <c r="J83" s="244">
        <f>0.383+(-3.495)-(0.077-0.4)</f>
        <v>-2.7890000000000001</v>
      </c>
      <c r="K83" s="244">
        <f>0.433+1.75-(0.081-(-0.421))</f>
        <v>1.6809999999999998</v>
      </c>
      <c r="L83" s="244">
        <f>0.518+3.518-(0.111-(-0.058))</f>
        <v>3.8669999999999995</v>
      </c>
      <c r="M83" s="244">
        <v>0.20300000000000007</v>
      </c>
      <c r="N83" s="245">
        <v>3.9320000000000004</v>
      </c>
      <c r="O83" s="245">
        <v>1.9870000000000003</v>
      </c>
      <c r="P83" s="245">
        <v>2.1109999999999998</v>
      </c>
      <c r="Q83" s="245">
        <v>2.274</v>
      </c>
      <c r="R83" s="245">
        <v>2.4510000000000001</v>
      </c>
      <c r="S83" s="246">
        <v>2.1232711000000002</v>
      </c>
      <c r="T83" s="246">
        <v>2.2760331484606291</v>
      </c>
      <c r="U83" s="246">
        <v>2.4411469459798334</v>
      </c>
      <c r="V83" s="246">
        <v>2.7181401429376155</v>
      </c>
      <c r="W83" s="246">
        <v>3.1110617492847608</v>
      </c>
      <c r="X83" s="246">
        <v>3.4925041731074882</v>
      </c>
      <c r="Y83" s="246">
        <v>3.8840980039462085</v>
      </c>
      <c r="Z83" s="246">
        <v>4.2833859334919762</v>
      </c>
      <c r="AA83" s="246">
        <v>4.6879004359770615</v>
      </c>
      <c r="AB83" s="246">
        <v>5.0942918132451434</v>
      </c>
      <c r="AC83" s="246">
        <v>5.5694319312225637</v>
      </c>
      <c r="AD83" s="246">
        <v>6.0551799084760267</v>
      </c>
      <c r="AE83" s="246">
        <v>6.5536305289046597</v>
      </c>
    </row>
    <row r="84" spans="1:31" x14ac:dyDescent="0.2">
      <c r="A84" s="243" t="s">
        <v>517</v>
      </c>
      <c r="B84" s="238"/>
      <c r="C84" s="244">
        <v>0</v>
      </c>
      <c r="D84" s="244">
        <v>0</v>
      </c>
      <c r="E84" s="244">
        <v>7.6999999999999999E-2</v>
      </c>
      <c r="F84" s="244">
        <v>0.23400000000000001</v>
      </c>
      <c r="G84" s="244">
        <v>0.46800000000000003</v>
      </c>
      <c r="H84" s="244">
        <v>0.70699999999999996</v>
      </c>
      <c r="I84" s="244">
        <v>0.23699999999999999</v>
      </c>
      <c r="J84" s="244">
        <v>4.0000000000000001E-3</v>
      </c>
      <c r="K84" s="244">
        <v>-2.7E-2</v>
      </c>
      <c r="L84" s="244">
        <v>0.872</v>
      </c>
      <c r="M84" s="244">
        <v>0.16</v>
      </c>
      <c r="N84" s="245">
        <v>0.89</v>
      </c>
      <c r="O84" s="245">
        <v>0.47799999999999998</v>
      </c>
      <c r="P84" s="245">
        <v>0.51100000000000001</v>
      </c>
      <c r="Q84" s="245">
        <v>0.55100000000000005</v>
      </c>
      <c r="R84" s="245">
        <v>0.59399999999999997</v>
      </c>
      <c r="S84" s="246">
        <v>0.50958506400000003</v>
      </c>
      <c r="T84" s="246">
        <v>0.54624795563055095</v>
      </c>
      <c r="U84" s="246">
        <v>0.58587526703516002</v>
      </c>
      <c r="V84" s="246">
        <v>0.65235363430502769</v>
      </c>
      <c r="W84" s="246">
        <v>0.74665481982834259</v>
      </c>
      <c r="X84" s="246">
        <v>0.83820100154579713</v>
      </c>
      <c r="Y84" s="246">
        <v>0.93218352094709001</v>
      </c>
      <c r="Z84" s="246">
        <v>1.0280126240380743</v>
      </c>
      <c r="AA84" s="246">
        <v>1.1250961046344947</v>
      </c>
      <c r="AB84" s="246">
        <v>1.2226300351788344</v>
      </c>
      <c r="AC84" s="246">
        <v>1.3366636634934153</v>
      </c>
      <c r="AD84" s="246">
        <v>1.4532431780342463</v>
      </c>
      <c r="AE84" s="246">
        <v>1.5728713269371182</v>
      </c>
    </row>
    <row r="85" spans="1:31" x14ac:dyDescent="0.2">
      <c r="A85" s="243" t="s">
        <v>546</v>
      </c>
      <c r="B85" s="238"/>
      <c r="C85" s="244">
        <v>0</v>
      </c>
      <c r="D85" s="244">
        <v>0</v>
      </c>
      <c r="E85" s="244">
        <v>0</v>
      </c>
      <c r="F85" s="244">
        <v>0</v>
      </c>
      <c r="G85" s="244">
        <v>-6.0000000000000001E-3</v>
      </c>
      <c r="H85" s="244">
        <v>-2.5000000000000001E-2</v>
      </c>
      <c r="I85" s="244">
        <v>1.6E-2</v>
      </c>
      <c r="J85" s="244">
        <v>2.5999999999999999E-2</v>
      </c>
      <c r="K85" s="244">
        <v>0.01</v>
      </c>
      <c r="L85" s="244">
        <v>1E-3</v>
      </c>
      <c r="M85" s="244">
        <v>8.0000000000000002E-3</v>
      </c>
      <c r="N85" s="245">
        <v>7.0000000000000001E-3</v>
      </c>
      <c r="O85" s="245">
        <v>2.1999999999999999E-2</v>
      </c>
      <c r="P85" s="245">
        <v>3.5000000000000003E-2</v>
      </c>
      <c r="Q85" s="245">
        <v>3.7999999999999999E-2</v>
      </c>
      <c r="R85" s="245">
        <v>4.1000000000000002E-2</v>
      </c>
      <c r="S85" s="246">
        <v>3.5517794818441459E-2</v>
      </c>
      <c r="T85" s="246">
        <v>3.8073177922026032E-2</v>
      </c>
      <c r="U85" s="246">
        <v>4.0835179430915212E-2</v>
      </c>
      <c r="V85" s="246">
        <v>4.5468684561583948E-2</v>
      </c>
      <c r="W85" s="246">
        <v>5.2041424610638605E-2</v>
      </c>
      <c r="X85" s="246">
        <v>5.8422142430602626E-2</v>
      </c>
      <c r="Y85" s="246">
        <v>6.4972671628639164E-2</v>
      </c>
      <c r="Z85" s="246">
        <v>7.1651906680200356E-2</v>
      </c>
      <c r="AA85" s="246">
        <v>7.8418571144455149E-2</v>
      </c>
      <c r="AB85" s="246">
        <v>8.5216631718911029E-2</v>
      </c>
      <c r="AC85" s="246">
        <v>9.3164712027794847E-2</v>
      </c>
      <c r="AD85" s="246">
        <v>0.1012902391870735</v>
      </c>
      <c r="AE85" s="246">
        <v>0.10962825446148147</v>
      </c>
    </row>
    <row r="86" spans="1:31" x14ac:dyDescent="0.2">
      <c r="A86" s="243" t="s">
        <v>145</v>
      </c>
      <c r="B86" s="238"/>
      <c r="C86" s="244">
        <v>0.61499999999999999</v>
      </c>
      <c r="D86" s="244">
        <v>1.8839999999999999</v>
      </c>
      <c r="E86" s="244">
        <v>3.956</v>
      </c>
      <c r="F86" s="244">
        <v>6.5549999999999997</v>
      </c>
      <c r="G86" s="244">
        <v>9.8550000000000004</v>
      </c>
      <c r="H86" s="244">
        <v>12.973000000000001</v>
      </c>
      <c r="I86" s="244">
        <v>14.212</v>
      </c>
      <c r="J86" s="244">
        <v>13.688000000000001</v>
      </c>
      <c r="K86" s="244">
        <v>15.656000000000001</v>
      </c>
      <c r="L86" s="244">
        <v>18.652000000000001</v>
      </c>
      <c r="M86" s="244">
        <v>18.702999999999999</v>
      </c>
      <c r="N86" s="245">
        <v>21.752000000000002</v>
      </c>
      <c r="O86" s="245">
        <v>23.283000000000001</v>
      </c>
      <c r="P86" s="245">
        <v>24.918000000000003</v>
      </c>
      <c r="Q86" s="245">
        <v>26.679000000000002</v>
      </c>
      <c r="R86" s="245">
        <v>28.577000000000002</v>
      </c>
      <c r="S86" s="246">
        <v>30.226203830818445</v>
      </c>
      <c r="T86" s="246">
        <v>31.99406220157055</v>
      </c>
      <c r="U86" s="246">
        <v>33.890169059946139</v>
      </c>
      <c r="V86" s="246">
        <v>38.676424253140311</v>
      </c>
      <c r="W86" s="246">
        <v>43.632872607207361</v>
      </c>
      <c r="X86" s="246">
        <v>48.746597921199651</v>
      </c>
      <c r="Y86" s="246">
        <v>53.968485075827402</v>
      </c>
      <c r="Z86" s="246">
        <v>59.284510291961503</v>
      </c>
      <c r="AA86" s="246">
        <v>64.64173319444852</v>
      </c>
      <c r="AB86" s="246">
        <v>70.005611604233735</v>
      </c>
      <c r="AC86" s="246">
        <v>75.368544583990683</v>
      </c>
      <c r="AD86" s="246">
        <v>80.746771553619539</v>
      </c>
      <c r="AE86" s="246">
        <v>86.17815901004856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pane xSplit="1" ySplit="3" topLeftCell="B65" activePane="bottomRight" state="frozen"/>
      <selection pane="topRight" activeCell="B1" sqref="B1"/>
      <selection pane="bottomLeft" activeCell="A6" sqref="A6"/>
      <selection pane="bottomRight" activeCell="G76" sqref="G76"/>
    </sheetView>
  </sheetViews>
  <sheetFormatPr defaultRowHeight="12.75" x14ac:dyDescent="0.2"/>
  <cols>
    <col min="1" max="1" width="53.7109375" customWidth="1"/>
    <col min="2" max="3" width="21.7109375" customWidth="1"/>
  </cols>
  <sheetData>
    <row r="1" spans="1:3" ht="18.75" x14ac:dyDescent="0.3">
      <c r="A1" s="34" t="s">
        <v>159</v>
      </c>
    </row>
    <row r="2" spans="1:3" ht="12.75" customHeight="1" x14ac:dyDescent="0.3">
      <c r="A2" s="34"/>
    </row>
    <row r="3" spans="1:3" ht="15.75" customHeight="1" x14ac:dyDescent="0.25">
      <c r="A3" s="35" t="s">
        <v>426</v>
      </c>
      <c r="B3" s="33" t="s">
        <v>1083</v>
      </c>
      <c r="C3" s="288" t="s">
        <v>1064</v>
      </c>
    </row>
    <row r="4" spans="1:3" x14ac:dyDescent="0.2">
      <c r="A4" s="25"/>
    </row>
    <row r="5" spans="1:3" ht="15.75" customHeight="1" x14ac:dyDescent="0.25">
      <c r="A5" s="35" t="s">
        <v>427</v>
      </c>
      <c r="B5" s="151" t="s">
        <v>414</v>
      </c>
    </row>
    <row r="6" spans="1:3" x14ac:dyDescent="0.2">
      <c r="A6" s="29" t="s">
        <v>428</v>
      </c>
      <c r="B6" s="1">
        <v>1.4999999999999999E-2</v>
      </c>
      <c r="C6" s="289">
        <v>1.4999999999999999E-2</v>
      </c>
    </row>
    <row r="7" spans="1:3" x14ac:dyDescent="0.2">
      <c r="A7" s="29" t="s">
        <v>429</v>
      </c>
      <c r="B7" s="1">
        <v>0.02</v>
      </c>
      <c r="C7" s="289">
        <v>0.02</v>
      </c>
    </row>
    <row r="8" spans="1:3" x14ac:dyDescent="0.2">
      <c r="A8" s="29" t="s">
        <v>153</v>
      </c>
      <c r="B8" s="1">
        <v>5.5E-2</v>
      </c>
      <c r="C8" s="289">
        <v>5.5E-2</v>
      </c>
    </row>
    <row r="9" spans="1:3" x14ac:dyDescent="0.2">
      <c r="A9" s="29" t="s">
        <v>435</v>
      </c>
      <c r="B9" s="1">
        <v>4.4999999999999998E-2</v>
      </c>
      <c r="C9" s="289">
        <v>4.4999999999999998E-2</v>
      </c>
    </row>
    <row r="10" spans="1:3" x14ac:dyDescent="0.2">
      <c r="A10" s="29" t="s">
        <v>715</v>
      </c>
      <c r="B10" s="232">
        <v>33.200000000000003</v>
      </c>
      <c r="C10" s="290">
        <v>33.200000000000003</v>
      </c>
    </row>
    <row r="11" spans="1:3" ht="13.5" x14ac:dyDescent="0.25">
      <c r="A11" s="165" t="s">
        <v>137</v>
      </c>
      <c r="B11" s="151" t="s">
        <v>418</v>
      </c>
    </row>
    <row r="12" spans="1:3" ht="13.5" x14ac:dyDescent="0.25">
      <c r="A12" s="44"/>
      <c r="B12" s="151" t="s">
        <v>419</v>
      </c>
    </row>
    <row r="13" spans="1:3" ht="13.5" x14ac:dyDescent="0.25">
      <c r="A13" s="44"/>
      <c r="B13" s="151" t="s">
        <v>420</v>
      </c>
    </row>
    <row r="14" spans="1:3" x14ac:dyDescent="0.2">
      <c r="A14" s="29" t="s">
        <v>820</v>
      </c>
      <c r="B14" s="147">
        <v>2019</v>
      </c>
      <c r="C14" s="292">
        <v>2019</v>
      </c>
    </row>
    <row r="15" spans="1:3" x14ac:dyDescent="0.2">
      <c r="A15" s="29" t="s">
        <v>429</v>
      </c>
      <c r="B15" s="316">
        <v>2E-3</v>
      </c>
      <c r="C15" s="317">
        <v>2E-3</v>
      </c>
    </row>
    <row r="16" spans="1:3" x14ac:dyDescent="0.2">
      <c r="A16" s="29" t="s">
        <v>153</v>
      </c>
      <c r="B16" s="316">
        <v>1E-3</v>
      </c>
      <c r="C16" s="317">
        <v>1E-3</v>
      </c>
    </row>
    <row r="17" spans="1:3" x14ac:dyDescent="0.2">
      <c r="A17" s="29" t="s">
        <v>435</v>
      </c>
      <c r="B17" s="316">
        <v>1E-3</v>
      </c>
      <c r="C17" s="317">
        <v>1E-3</v>
      </c>
    </row>
    <row r="18" spans="1:3" x14ac:dyDescent="0.2">
      <c r="A18" s="29" t="s">
        <v>715</v>
      </c>
      <c r="B18" s="145">
        <v>0.03</v>
      </c>
      <c r="C18" s="291">
        <v>0.03</v>
      </c>
    </row>
    <row r="19" spans="1:3" x14ac:dyDescent="0.2">
      <c r="A19" s="29" t="s">
        <v>1043</v>
      </c>
      <c r="B19" s="147">
        <v>2026</v>
      </c>
      <c r="C19" s="292">
        <v>2026</v>
      </c>
    </row>
    <row r="20" spans="1:3" x14ac:dyDescent="0.2">
      <c r="A20" s="29"/>
    </row>
    <row r="21" spans="1:3" ht="15.75" x14ac:dyDescent="0.25">
      <c r="A21" s="35" t="s">
        <v>430</v>
      </c>
    </row>
    <row r="22" spans="1:3" ht="13.5" x14ac:dyDescent="0.25">
      <c r="A22" s="165" t="s">
        <v>409</v>
      </c>
      <c r="B22" s="151" t="s">
        <v>173</v>
      </c>
    </row>
    <row r="23" spans="1:3" x14ac:dyDescent="0.2">
      <c r="A23" s="29" t="s">
        <v>431</v>
      </c>
      <c r="B23" s="365" t="s">
        <v>131</v>
      </c>
      <c r="C23" s="366" t="s">
        <v>131</v>
      </c>
    </row>
    <row r="24" spans="1:3" x14ac:dyDescent="0.2">
      <c r="A24" s="29" t="s">
        <v>157</v>
      </c>
      <c r="B24" s="145">
        <v>1.35</v>
      </c>
      <c r="C24" s="291">
        <v>1.35</v>
      </c>
    </row>
    <row r="25" spans="1:3" x14ac:dyDescent="0.2">
      <c r="A25" s="29" t="s">
        <v>864</v>
      </c>
      <c r="B25" s="147">
        <v>2020</v>
      </c>
      <c r="C25" s="292">
        <v>2020</v>
      </c>
    </row>
    <row r="26" spans="1:3" ht="15.75" customHeight="1" x14ac:dyDescent="0.25">
      <c r="A26" s="165" t="s">
        <v>404</v>
      </c>
      <c r="B26" s="151" t="s">
        <v>413</v>
      </c>
    </row>
    <row r="27" spans="1:3" x14ac:dyDescent="0.2">
      <c r="A27" s="29" t="s">
        <v>834</v>
      </c>
      <c r="B27" s="2">
        <f>ROUND(1*1.02^3,3)</f>
        <v>1.0609999999999999</v>
      </c>
      <c r="C27" s="318">
        <f>ROUND(1*1.02^3,3)</f>
        <v>1.0609999999999999</v>
      </c>
    </row>
    <row r="28" spans="1:3" x14ac:dyDescent="0.2">
      <c r="A28" s="29" t="s">
        <v>835</v>
      </c>
      <c r="B28" s="2">
        <f>ROUND(0.9*1.02^2,3)</f>
        <v>0.93600000000000005</v>
      </c>
      <c r="C28" s="318">
        <f>ROUND(0.9*1.02^2,3)</f>
        <v>0.93600000000000005</v>
      </c>
    </row>
    <row r="29" spans="1:3" x14ac:dyDescent="0.2">
      <c r="A29" s="29" t="s">
        <v>865</v>
      </c>
      <c r="B29" s="147">
        <v>2021</v>
      </c>
      <c r="C29" s="292">
        <v>2021</v>
      </c>
    </row>
    <row r="30" spans="1:3" ht="15.75" customHeight="1" x14ac:dyDescent="0.25">
      <c r="A30" s="165" t="s">
        <v>405</v>
      </c>
      <c r="B30" s="151" t="s">
        <v>415</v>
      </c>
    </row>
    <row r="31" spans="1:3" ht="15.75" customHeight="1" x14ac:dyDescent="0.25">
      <c r="A31" s="44"/>
      <c r="B31" s="151" t="s">
        <v>832</v>
      </c>
    </row>
    <row r="32" spans="1:3" x14ac:dyDescent="0.2">
      <c r="A32" s="29" t="s">
        <v>406</v>
      </c>
      <c r="B32" s="1">
        <v>0.02</v>
      </c>
      <c r="C32" s="289">
        <v>0.02</v>
      </c>
    </row>
    <row r="33" spans="1:3" x14ac:dyDescent="0.2">
      <c r="A33" s="29" t="s">
        <v>407</v>
      </c>
      <c r="B33" s="1">
        <v>0.02</v>
      </c>
      <c r="C33" s="289">
        <v>0.02</v>
      </c>
    </row>
    <row r="34" spans="1:3" ht="13.5" x14ac:dyDescent="0.25">
      <c r="A34" s="165" t="s">
        <v>927</v>
      </c>
      <c r="B34" s="151" t="s">
        <v>930</v>
      </c>
    </row>
    <row r="35" spans="1:3" ht="13.5" x14ac:dyDescent="0.25">
      <c r="A35" s="29"/>
      <c r="B35" s="151" t="s">
        <v>931</v>
      </c>
    </row>
    <row r="36" spans="1:3" ht="13.5" x14ac:dyDescent="0.25">
      <c r="A36" s="29"/>
      <c r="B36" s="151" t="s">
        <v>932</v>
      </c>
    </row>
    <row r="37" spans="1:3" x14ac:dyDescent="0.2">
      <c r="A37" s="29" t="s">
        <v>933</v>
      </c>
      <c r="B37" s="365" t="s">
        <v>131</v>
      </c>
      <c r="C37" s="366" t="s">
        <v>131</v>
      </c>
    </row>
    <row r="38" spans="1:3" x14ac:dyDescent="0.2">
      <c r="A38" s="29" t="s">
        <v>934</v>
      </c>
      <c r="B38" s="147">
        <v>2018</v>
      </c>
      <c r="C38" s="292">
        <v>2018</v>
      </c>
    </row>
    <row r="39" spans="1:3" x14ac:dyDescent="0.2">
      <c r="A39" s="29" t="s">
        <v>926</v>
      </c>
      <c r="B39" s="147">
        <v>2048</v>
      </c>
      <c r="C39" s="292">
        <v>2048</v>
      </c>
    </row>
    <row r="40" spans="1:3" x14ac:dyDescent="0.2">
      <c r="A40" s="29" t="s">
        <v>929</v>
      </c>
      <c r="B40" s="411">
        <v>-1.8499999999999999E-2</v>
      </c>
      <c r="C40" s="415">
        <v>-1.8499999999999999E-2</v>
      </c>
    </row>
    <row r="41" spans="1:3" x14ac:dyDescent="0.2">
      <c r="A41" s="29" t="s">
        <v>928</v>
      </c>
      <c r="B41" s="316">
        <v>1.3299999999999999E-2</v>
      </c>
      <c r="C41" s="317">
        <v>1.3299999999999999E-2</v>
      </c>
    </row>
    <row r="42" spans="1:3" ht="13.5" x14ac:dyDescent="0.25">
      <c r="A42" s="29"/>
      <c r="B42" s="151" t="s">
        <v>1044</v>
      </c>
    </row>
    <row r="43" spans="1:3" ht="13.5" x14ac:dyDescent="0.25">
      <c r="A43" s="29"/>
      <c r="B43" s="151" t="s">
        <v>1047</v>
      </c>
    </row>
    <row r="44" spans="1:3" ht="13.5" x14ac:dyDescent="0.25">
      <c r="A44" s="29"/>
      <c r="B44" s="151" t="s">
        <v>1046</v>
      </c>
    </row>
    <row r="45" spans="1:3" ht="13.5" x14ac:dyDescent="0.25">
      <c r="A45" s="29"/>
      <c r="B45" s="151" t="s">
        <v>1048</v>
      </c>
    </row>
    <row r="46" spans="1:3" x14ac:dyDescent="0.2">
      <c r="A46" s="29" t="s">
        <v>1045</v>
      </c>
      <c r="B46" s="148">
        <v>0</v>
      </c>
      <c r="C46" s="320">
        <v>0</v>
      </c>
    </row>
    <row r="47" spans="1:3" ht="13.5" x14ac:dyDescent="0.25">
      <c r="A47" s="29"/>
      <c r="B47" s="151" t="s">
        <v>1082</v>
      </c>
      <c r="C47" s="151"/>
    </row>
    <row r="48" spans="1:3" ht="13.5" x14ac:dyDescent="0.25">
      <c r="A48" s="29"/>
      <c r="B48" s="151" t="s">
        <v>1081</v>
      </c>
      <c r="C48" s="151"/>
    </row>
    <row r="49" spans="1:3" x14ac:dyDescent="0.2">
      <c r="A49" s="29" t="s">
        <v>1080</v>
      </c>
      <c r="B49" s="1">
        <v>0.88500000000000001</v>
      </c>
      <c r="C49" s="289">
        <v>0.88500000000000001</v>
      </c>
    </row>
    <row r="50" spans="1:3" ht="15.75" customHeight="1" x14ac:dyDescent="0.25">
      <c r="A50" s="165" t="s">
        <v>163</v>
      </c>
      <c r="B50" s="151" t="s">
        <v>416</v>
      </c>
    </row>
    <row r="51" spans="1:3" ht="15.75" customHeight="1" x14ac:dyDescent="0.25">
      <c r="A51" s="44"/>
      <c r="B51" s="151" t="s">
        <v>417</v>
      </c>
    </row>
    <row r="52" spans="1:3" x14ac:dyDescent="0.2">
      <c r="A52" s="29" t="s">
        <v>149</v>
      </c>
      <c r="B52" s="365" t="s">
        <v>131</v>
      </c>
      <c r="C52" s="366" t="s">
        <v>131</v>
      </c>
    </row>
    <row r="53" spans="1:3" x14ac:dyDescent="0.2">
      <c r="A53" s="28" t="s">
        <v>147</v>
      </c>
      <c r="B53" s="1">
        <v>0.65</v>
      </c>
      <c r="C53" s="289">
        <v>0.65</v>
      </c>
    </row>
    <row r="54" spans="1:3" ht="13.5" x14ac:dyDescent="0.25">
      <c r="A54" s="165" t="s">
        <v>169</v>
      </c>
      <c r="B54" s="151" t="s">
        <v>172</v>
      </c>
    </row>
    <row r="55" spans="1:3" x14ac:dyDescent="0.2">
      <c r="A55" s="29" t="s">
        <v>868</v>
      </c>
      <c r="B55" s="365" t="s">
        <v>131</v>
      </c>
      <c r="C55" s="366" t="s">
        <v>131</v>
      </c>
    </row>
    <row r="56" spans="1:3" x14ac:dyDescent="0.2">
      <c r="A56" s="29" t="s">
        <v>166</v>
      </c>
      <c r="B56" s="365" t="s">
        <v>131</v>
      </c>
      <c r="C56" s="366" t="s">
        <v>131</v>
      </c>
    </row>
    <row r="57" spans="1:3" x14ac:dyDescent="0.2">
      <c r="A57" s="29" t="s">
        <v>1002</v>
      </c>
      <c r="B57" s="365" t="s">
        <v>131</v>
      </c>
      <c r="C57" s="366" t="s">
        <v>131</v>
      </c>
    </row>
    <row r="58" spans="1:3" x14ac:dyDescent="0.2">
      <c r="A58" s="29" t="s">
        <v>1006</v>
      </c>
      <c r="B58" s="365" t="s">
        <v>131</v>
      </c>
      <c r="C58" s="366" t="s">
        <v>131</v>
      </c>
    </row>
    <row r="59" spans="1:3" x14ac:dyDescent="0.2">
      <c r="A59" s="29" t="s">
        <v>167</v>
      </c>
      <c r="B59" s="365" t="s">
        <v>131</v>
      </c>
      <c r="C59" s="366" t="s">
        <v>131</v>
      </c>
    </row>
    <row r="60" spans="1:3" ht="13.5" x14ac:dyDescent="0.25">
      <c r="A60" s="29"/>
      <c r="B60" s="151" t="s">
        <v>875</v>
      </c>
    </row>
    <row r="61" spans="1:3" ht="13.5" x14ac:dyDescent="0.25">
      <c r="A61" s="29"/>
      <c r="B61" s="151" t="s">
        <v>876</v>
      </c>
    </row>
    <row r="62" spans="1:3" ht="13.5" x14ac:dyDescent="0.25">
      <c r="A62" s="29"/>
      <c r="B62" s="151" t="s">
        <v>877</v>
      </c>
    </row>
    <row r="63" spans="1:3" x14ac:dyDescent="0.2">
      <c r="A63" s="29" t="s">
        <v>174</v>
      </c>
      <c r="B63" s="1">
        <f>0.2%*1</f>
        <v>2E-3</v>
      </c>
      <c r="C63" s="289">
        <v>2E-3</v>
      </c>
    </row>
    <row r="64" spans="1:3" x14ac:dyDescent="0.2">
      <c r="A64" s="29" t="s">
        <v>867</v>
      </c>
      <c r="B64" s="1">
        <v>0.112</v>
      </c>
      <c r="C64" s="289">
        <v>0.112</v>
      </c>
    </row>
    <row r="65" spans="1:3" x14ac:dyDescent="0.2">
      <c r="A65" s="29" t="s">
        <v>170</v>
      </c>
      <c r="B65" s="1">
        <v>4.3999999999999997E-2</v>
      </c>
      <c r="C65" s="289">
        <v>4.3999999999999997E-2</v>
      </c>
    </row>
    <row r="66" spans="1:3" x14ac:dyDescent="0.2">
      <c r="A66" s="29" t="s">
        <v>1003</v>
      </c>
      <c r="B66" s="1">
        <v>7.3999999999999996E-2</v>
      </c>
      <c r="C66" s="289">
        <v>7.3999999999999996E-2</v>
      </c>
    </row>
    <row r="67" spans="1:3" x14ac:dyDescent="0.2">
      <c r="A67" s="29" t="s">
        <v>1005</v>
      </c>
      <c r="B67" s="1">
        <v>1.4E-2</v>
      </c>
      <c r="C67" s="289">
        <v>1.4E-2</v>
      </c>
    </row>
    <row r="68" spans="1:3" x14ac:dyDescent="0.2">
      <c r="A68" s="29" t="s">
        <v>171</v>
      </c>
      <c r="B68" s="1">
        <v>4.2999999999999997E-2</v>
      </c>
      <c r="C68" s="289">
        <v>4.2999999999999997E-2</v>
      </c>
    </row>
    <row r="69" spans="1:3" ht="15.75" x14ac:dyDescent="0.25">
      <c r="A69" s="35" t="s">
        <v>341</v>
      </c>
    </row>
    <row r="70" spans="1:3" ht="13.5" x14ac:dyDescent="0.25">
      <c r="A70" s="44" t="s">
        <v>342</v>
      </c>
      <c r="B70" s="151" t="s">
        <v>421</v>
      </c>
    </row>
    <row r="71" spans="1:3" ht="13.5" x14ac:dyDescent="0.25">
      <c r="A71" s="44"/>
      <c r="B71" s="151" t="s">
        <v>998</v>
      </c>
    </row>
    <row r="72" spans="1:3" x14ac:dyDescent="0.2">
      <c r="A72" s="29" t="s">
        <v>343</v>
      </c>
      <c r="B72" s="365" t="s">
        <v>132</v>
      </c>
      <c r="C72" s="366" t="s">
        <v>132</v>
      </c>
    </row>
    <row r="73" spans="1:3" x14ac:dyDescent="0.2">
      <c r="A73" s="149" t="s">
        <v>344</v>
      </c>
      <c r="B73" s="148">
        <v>0.4</v>
      </c>
      <c r="C73" s="320">
        <v>0.4</v>
      </c>
    </row>
    <row r="74" spans="1:3" x14ac:dyDescent="0.2">
      <c r="A74" s="149" t="s">
        <v>345</v>
      </c>
      <c r="B74" s="148">
        <v>0.25</v>
      </c>
      <c r="C74" s="320">
        <v>0.25</v>
      </c>
    </row>
    <row r="75" spans="1:3" x14ac:dyDescent="0.2">
      <c r="A75" s="149" t="s">
        <v>841</v>
      </c>
      <c r="B75" s="148">
        <v>0.02</v>
      </c>
      <c r="C75" s="320">
        <v>0.02</v>
      </c>
    </row>
    <row r="76" spans="1:3" x14ac:dyDescent="0.2">
      <c r="A76" s="149" t="s">
        <v>840</v>
      </c>
      <c r="B76" s="148">
        <v>0.05</v>
      </c>
      <c r="C76" s="320">
        <v>0.05</v>
      </c>
    </row>
    <row r="77" spans="1:3" x14ac:dyDescent="0.2">
      <c r="A77" s="149" t="s">
        <v>583</v>
      </c>
      <c r="B77" s="148">
        <v>0.09</v>
      </c>
      <c r="C77" s="320">
        <v>0.09</v>
      </c>
    </row>
    <row r="78" spans="1:3" x14ac:dyDescent="0.2">
      <c r="A78" s="149" t="s">
        <v>584</v>
      </c>
      <c r="B78" s="148">
        <v>0.04</v>
      </c>
      <c r="C78" s="320">
        <v>0.04</v>
      </c>
    </row>
    <row r="79" spans="1:3" x14ac:dyDescent="0.2">
      <c r="A79" s="149" t="s">
        <v>838</v>
      </c>
      <c r="B79" s="148">
        <v>0.06</v>
      </c>
      <c r="C79" s="320">
        <v>0.06</v>
      </c>
    </row>
    <row r="80" spans="1:3" x14ac:dyDescent="0.2">
      <c r="A80" s="149" t="s">
        <v>916</v>
      </c>
      <c r="B80" s="148">
        <v>0.03</v>
      </c>
      <c r="C80" s="320">
        <v>0.03</v>
      </c>
    </row>
    <row r="81" spans="1:3" x14ac:dyDescent="0.2">
      <c r="A81" s="149" t="s">
        <v>997</v>
      </c>
      <c r="B81" s="148">
        <v>0.01</v>
      </c>
      <c r="C81" s="320">
        <v>0.01</v>
      </c>
    </row>
    <row r="82" spans="1:3" x14ac:dyDescent="0.2">
      <c r="A82" s="149" t="s">
        <v>839</v>
      </c>
      <c r="B82" s="148">
        <v>0.03</v>
      </c>
      <c r="C82" s="320">
        <v>0.03</v>
      </c>
    </row>
    <row r="83" spans="1:3" ht="13.5" x14ac:dyDescent="0.25">
      <c r="A83" s="149"/>
      <c r="B83" s="151" t="s">
        <v>422</v>
      </c>
      <c r="C83" s="151"/>
    </row>
    <row r="84" spans="1:3" x14ac:dyDescent="0.2">
      <c r="A84" s="29" t="s">
        <v>245</v>
      </c>
      <c r="B84" s="365" t="s">
        <v>132</v>
      </c>
      <c r="C84" s="366" t="s">
        <v>132</v>
      </c>
    </row>
    <row r="86" spans="1:3" ht="13.5" x14ac:dyDescent="0.2">
      <c r="A86" s="44" t="s">
        <v>842</v>
      </c>
    </row>
    <row r="87" spans="1:3" x14ac:dyDescent="0.2">
      <c r="A87" s="29" t="s">
        <v>843</v>
      </c>
      <c r="B87" s="333">
        <v>14000</v>
      </c>
      <c r="C87" s="334">
        <v>14000</v>
      </c>
    </row>
    <row r="88" spans="1:3" x14ac:dyDescent="0.2">
      <c r="A88" s="29" t="s">
        <v>844</v>
      </c>
      <c r="B88" s="333">
        <v>48000</v>
      </c>
      <c r="C88" s="334">
        <v>48000</v>
      </c>
    </row>
    <row r="89" spans="1:3" x14ac:dyDescent="0.2">
      <c r="A89" s="29" t="s">
        <v>845</v>
      </c>
      <c r="B89" s="333">
        <v>70000</v>
      </c>
      <c r="C89" s="334">
        <v>70000</v>
      </c>
    </row>
    <row r="90" spans="1:3" x14ac:dyDescent="0.2">
      <c r="A90" s="29" t="s">
        <v>846</v>
      </c>
      <c r="B90" s="1">
        <v>0.105</v>
      </c>
      <c r="C90" s="289">
        <v>0.105</v>
      </c>
    </row>
    <row r="91" spans="1:3" x14ac:dyDescent="0.2">
      <c r="A91" s="29" t="s">
        <v>847</v>
      </c>
      <c r="B91" s="1">
        <v>0.17499999999999999</v>
      </c>
      <c r="C91" s="289">
        <v>0.17499999999999999</v>
      </c>
    </row>
    <row r="92" spans="1:3" x14ac:dyDescent="0.2">
      <c r="A92" s="29" t="s">
        <v>848</v>
      </c>
      <c r="B92" s="1">
        <v>0.3</v>
      </c>
      <c r="C92" s="289">
        <v>0.3</v>
      </c>
    </row>
    <row r="93" spans="1:3" x14ac:dyDescent="0.2">
      <c r="A93" s="29" t="s">
        <v>849</v>
      </c>
      <c r="B93" s="1">
        <v>0.33</v>
      </c>
      <c r="C93" s="289">
        <v>0.33</v>
      </c>
    </row>
    <row r="94" spans="1:3" x14ac:dyDescent="0.2">
      <c r="A94" s="29" t="s">
        <v>850</v>
      </c>
      <c r="B94" s="316">
        <v>1.7000000000000001E-2</v>
      </c>
      <c r="C94" s="317">
        <v>1.7000000000000001E-2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7"/>
  <sheetViews>
    <sheetView zoomScaleNormal="100" workbookViewId="0">
      <pane xSplit="1" ySplit="2" topLeftCell="B124" activePane="bottomRight" state="frozen"/>
      <selection activeCell="M12" sqref="M12"/>
      <selection pane="topRight" activeCell="M12" sqref="M12"/>
      <selection pane="bottomLeft" activeCell="M12" sqref="M12"/>
      <selection pane="bottomRight" activeCell="H213" sqref="H213"/>
    </sheetView>
  </sheetViews>
  <sheetFormatPr defaultColWidth="8.85546875" defaultRowHeight="12.75" x14ac:dyDescent="0.2"/>
  <cols>
    <col min="1" max="1" width="70.7109375" style="259" customWidth="1"/>
    <col min="2" max="2" width="7.7109375" style="259" customWidth="1"/>
    <col min="3" max="13" width="7.7109375" style="355" customWidth="1"/>
    <col min="14" max="14" width="8.85546875" style="259"/>
    <col min="15" max="15" width="10.140625" style="259" bestFit="1" customWidth="1"/>
    <col min="16" max="16384" width="8.85546875" style="259"/>
  </cols>
  <sheetData>
    <row r="1" spans="1:29" ht="15.75" x14ac:dyDescent="0.25">
      <c r="A1" s="354" t="s">
        <v>1004</v>
      </c>
      <c r="B1" s="354"/>
      <c r="C1" s="112"/>
      <c r="D1" s="112"/>
      <c r="E1" s="112"/>
      <c r="F1" s="112"/>
      <c r="G1" s="112"/>
      <c r="H1" s="112"/>
    </row>
    <row r="2" spans="1:29" x14ac:dyDescent="0.2">
      <c r="A2" s="47"/>
      <c r="B2" s="356"/>
      <c r="C2" s="356" t="s">
        <v>442</v>
      </c>
      <c r="D2" s="356" t="s">
        <v>443</v>
      </c>
      <c r="E2" s="356" t="s">
        <v>444</v>
      </c>
      <c r="F2" s="356" t="s">
        <v>361</v>
      </c>
      <c r="G2" s="356" t="s">
        <v>446</v>
      </c>
      <c r="H2" s="356" t="s">
        <v>447</v>
      </c>
      <c r="I2" s="357" t="s">
        <v>448</v>
      </c>
      <c r="J2" s="357" t="s">
        <v>449</v>
      </c>
      <c r="K2" s="357" t="s">
        <v>450</v>
      </c>
      <c r="L2" s="357" t="s">
        <v>451</v>
      </c>
      <c r="M2" s="357" t="s">
        <v>452</v>
      </c>
    </row>
    <row r="3" spans="1:29" x14ac:dyDescent="0.2">
      <c r="A3" s="46"/>
      <c r="B3" s="46"/>
      <c r="C3" s="195">
        <v>1</v>
      </c>
      <c r="D3" s="195">
        <v>2</v>
      </c>
      <c r="E3" s="195">
        <v>3</v>
      </c>
      <c r="F3" s="195">
        <v>4</v>
      </c>
      <c r="G3" s="195">
        <v>5</v>
      </c>
      <c r="H3" s="195">
        <v>6</v>
      </c>
      <c r="I3" s="194">
        <v>7</v>
      </c>
      <c r="J3" s="194">
        <v>8</v>
      </c>
      <c r="K3" s="194">
        <v>9</v>
      </c>
      <c r="L3" s="194">
        <v>10</v>
      </c>
      <c r="M3" s="194">
        <v>11</v>
      </c>
      <c r="O3" s="314" t="s">
        <v>551</v>
      </c>
      <c r="P3" s="358" t="s">
        <v>589</v>
      </c>
    </row>
    <row r="4" spans="1:29" ht="15.75" x14ac:dyDescent="0.25">
      <c r="A4" s="51" t="s">
        <v>552</v>
      </c>
      <c r="B4" s="51"/>
      <c r="C4" s="108"/>
      <c r="D4" s="108"/>
      <c r="E4" s="108"/>
      <c r="F4" s="108"/>
      <c r="G4" s="108"/>
      <c r="H4" s="108"/>
      <c r="P4" s="358" t="s">
        <v>590</v>
      </c>
    </row>
    <row r="5" spans="1:29" x14ac:dyDescent="0.2">
      <c r="A5" s="68" t="s">
        <v>360</v>
      </c>
      <c r="B5" s="68"/>
      <c r="C5" s="177">
        <v>53.064</v>
      </c>
      <c r="D5" s="177">
        <v>56.372</v>
      </c>
      <c r="E5" s="177">
        <v>54.145000000000003</v>
      </c>
      <c r="F5" s="177">
        <v>50.347000000000001</v>
      </c>
      <c r="G5" s="177">
        <v>51.128</v>
      </c>
      <c r="H5" s="177">
        <v>54.664999999999999</v>
      </c>
      <c r="I5" s="107">
        <v>57.838999999999999</v>
      </c>
      <c r="J5" s="107">
        <v>61.773000000000003</v>
      </c>
      <c r="K5" s="107">
        <v>65.394000000000005</v>
      </c>
      <c r="L5" s="107">
        <v>68.903000000000006</v>
      </c>
      <c r="M5" s="107">
        <v>71.981999999999999</v>
      </c>
      <c r="O5" s="358" t="s">
        <v>599</v>
      </c>
      <c r="AA5" s="265"/>
      <c r="AB5" s="265"/>
      <c r="AC5" s="265"/>
    </row>
    <row r="6" spans="1:29" x14ac:dyDescent="0.2">
      <c r="A6" s="68" t="s">
        <v>282</v>
      </c>
      <c r="B6" s="68"/>
      <c r="C6" s="177">
        <v>3.496</v>
      </c>
      <c r="D6" s="177">
        <v>3.879</v>
      </c>
      <c r="E6" s="177">
        <v>4.1180000000000003</v>
      </c>
      <c r="F6" s="177">
        <v>4.6820000000000004</v>
      </c>
      <c r="G6" s="177">
        <v>5.2809999999999997</v>
      </c>
      <c r="H6" s="177">
        <v>5.13</v>
      </c>
      <c r="I6" s="107">
        <v>5.1260000000000003</v>
      </c>
      <c r="J6" s="107">
        <v>5.2960000000000003</v>
      </c>
      <c r="K6" s="107">
        <f>5.435-0.3</f>
        <v>5.1349999999999998</v>
      </c>
      <c r="L6" s="107">
        <f>5.379-1</f>
        <v>4.3789999999999996</v>
      </c>
      <c r="M6" s="107">
        <f>5.531-1</f>
        <v>4.5309999999999997</v>
      </c>
      <c r="O6" s="359" t="s">
        <v>596</v>
      </c>
      <c r="AA6" s="265"/>
      <c r="AB6" s="265"/>
      <c r="AC6" s="265"/>
    </row>
    <row r="7" spans="1:29" x14ac:dyDescent="0.2">
      <c r="A7" s="68" t="s">
        <v>329</v>
      </c>
      <c r="B7" s="68"/>
      <c r="C7" s="178">
        <v>12.613</v>
      </c>
      <c r="D7" s="178">
        <v>15.398999999999999</v>
      </c>
      <c r="E7" s="178">
        <v>15.356</v>
      </c>
      <c r="F7" s="178">
        <v>14.331</v>
      </c>
      <c r="G7" s="178">
        <v>15.084</v>
      </c>
      <c r="H7" s="178">
        <v>16.785</v>
      </c>
      <c r="I7" s="107">
        <v>16.809000000000001</v>
      </c>
      <c r="J7" s="107">
        <v>17.079999999999998</v>
      </c>
      <c r="K7" s="107">
        <v>17.963000000000001</v>
      </c>
      <c r="L7" s="107">
        <v>18.585999999999999</v>
      </c>
      <c r="M7" s="107">
        <v>19.085000000000001</v>
      </c>
      <c r="O7" s="259" t="str">
        <f>$O$6</f>
        <v>Used in TC 'Other non-investment income' total</v>
      </c>
      <c r="AA7" s="265"/>
      <c r="AB7" s="265"/>
      <c r="AC7" s="265"/>
    </row>
    <row r="8" spans="1:29" x14ac:dyDescent="0.2">
      <c r="A8" s="68" t="s">
        <v>283</v>
      </c>
      <c r="B8" s="68"/>
      <c r="C8" s="178">
        <v>2.9950000000000001</v>
      </c>
      <c r="D8" s="178">
        <v>3.214</v>
      </c>
      <c r="E8" s="178">
        <v>2.9969999999999999</v>
      </c>
      <c r="F8" s="178">
        <v>2.3149999999999999</v>
      </c>
      <c r="G8" s="178">
        <v>2.57</v>
      </c>
      <c r="H8" s="178">
        <v>2.7629999999999999</v>
      </c>
      <c r="I8" s="107">
        <v>3.0510000000000002</v>
      </c>
      <c r="J8" s="107">
        <v>3.5880000000000001</v>
      </c>
      <c r="K8" s="107">
        <v>4.0309999999999997</v>
      </c>
      <c r="L8" s="107">
        <v>4.33</v>
      </c>
      <c r="M8" s="107">
        <v>5.0640000000000001</v>
      </c>
      <c r="O8" s="358" t="s">
        <v>600</v>
      </c>
      <c r="AA8" s="265"/>
      <c r="AB8" s="265"/>
      <c r="AC8" s="265"/>
    </row>
    <row r="9" spans="1:29" x14ac:dyDescent="0.2">
      <c r="A9" s="68" t="s">
        <v>330</v>
      </c>
      <c r="B9" s="68"/>
      <c r="C9" s="179">
        <v>2.4209999999999998</v>
      </c>
      <c r="D9" s="179">
        <v>2.6150000000000002</v>
      </c>
      <c r="E9" s="179">
        <v>2.89</v>
      </c>
      <c r="F9" s="179">
        <v>3.05</v>
      </c>
      <c r="G9" s="179">
        <v>7.5</v>
      </c>
      <c r="H9" s="179">
        <v>4.1399999999999997</v>
      </c>
      <c r="I9" s="107">
        <v>3.6379999999999999</v>
      </c>
      <c r="J9" s="107">
        <v>3.867</v>
      </c>
      <c r="K9" s="107">
        <v>3.6829999999999998</v>
      </c>
      <c r="L9" s="107">
        <v>3.766</v>
      </c>
      <c r="M9" s="107">
        <v>3.8319999999999999</v>
      </c>
      <c r="O9" s="259" t="str">
        <f>$O$6</f>
        <v>Used in TC 'Other non-investment income' total</v>
      </c>
      <c r="AA9" s="265"/>
      <c r="AB9" s="265"/>
      <c r="AC9" s="265"/>
    </row>
    <row r="10" spans="1:29" x14ac:dyDescent="0.2">
      <c r="A10" s="50" t="s">
        <v>280</v>
      </c>
      <c r="B10" s="50"/>
      <c r="C10" s="180">
        <f>SUM(C$5:C$9)</f>
        <v>74.589000000000013</v>
      </c>
      <c r="D10" s="180">
        <f t="shared" ref="D10:M10" si="0">SUM(D$5:D$9)</f>
        <v>81.478999999999985</v>
      </c>
      <c r="E10" s="180">
        <f t="shared" si="0"/>
        <v>79.506</v>
      </c>
      <c r="F10" s="180">
        <f t="shared" si="0"/>
        <v>74.724999999999994</v>
      </c>
      <c r="G10" s="180">
        <f t="shared" si="0"/>
        <v>81.562999999999988</v>
      </c>
      <c r="H10" s="180">
        <f t="shared" si="0"/>
        <v>83.483000000000004</v>
      </c>
      <c r="I10" s="113">
        <f t="shared" si="0"/>
        <v>86.463000000000008</v>
      </c>
      <c r="J10" s="113">
        <f t="shared" si="0"/>
        <v>91.603999999999999</v>
      </c>
      <c r="K10" s="113">
        <f t="shared" si="0"/>
        <v>96.206000000000017</v>
      </c>
      <c r="L10" s="113">
        <f t="shared" si="0"/>
        <v>99.964000000000013</v>
      </c>
      <c r="M10" s="113">
        <f t="shared" si="0"/>
        <v>104.494</v>
      </c>
      <c r="AA10" s="265"/>
      <c r="AB10" s="265"/>
      <c r="AC10" s="265"/>
    </row>
    <row r="11" spans="1:29" x14ac:dyDescent="0.2">
      <c r="A11" s="50" t="s">
        <v>878</v>
      </c>
      <c r="B11" s="50"/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07">
        <v>0.01</v>
      </c>
      <c r="J11" s="107">
        <v>0.14000000000000001</v>
      </c>
      <c r="K11" s="107">
        <v>0.2</v>
      </c>
      <c r="L11" s="107">
        <v>0.27</v>
      </c>
      <c r="M11" s="107">
        <v>0.34</v>
      </c>
      <c r="O11" s="314" t="str">
        <f>$O$3</f>
        <v>√</v>
      </c>
      <c r="AA11" s="265"/>
      <c r="AB11" s="265"/>
      <c r="AC11" s="265"/>
    </row>
    <row r="12" spans="1:29" x14ac:dyDescent="0.2">
      <c r="A12" s="50" t="s">
        <v>279</v>
      </c>
      <c r="B12" s="50"/>
      <c r="C12" s="182">
        <v>5.86</v>
      </c>
      <c r="D12" s="182">
        <f>5.638-0.001</f>
        <v>5.6369999999999996</v>
      </c>
      <c r="E12" s="182">
        <v>-3.8929999999999998</v>
      </c>
      <c r="F12" s="182">
        <v>-6.3150000000000004</v>
      </c>
      <c r="G12" s="182">
        <v>-18.396000000000001</v>
      </c>
      <c r="H12" s="182">
        <v>-9.24</v>
      </c>
      <c r="I12" s="167">
        <v>-6.2850000000000001</v>
      </c>
      <c r="J12" s="167">
        <v>-2.0329999999999999</v>
      </c>
      <c r="K12" s="167">
        <v>7.4999999999999997E-2</v>
      </c>
      <c r="L12" s="167">
        <v>0.79700000000000004</v>
      </c>
      <c r="M12" s="167">
        <v>2.6179999999999999</v>
      </c>
      <c r="O12" s="360" t="s">
        <v>685</v>
      </c>
      <c r="AA12" s="265"/>
      <c r="AB12" s="265"/>
      <c r="AC12" s="265"/>
    </row>
    <row r="13" spans="1:29" x14ac:dyDescent="0.2">
      <c r="A13" s="68" t="s">
        <v>556</v>
      </c>
      <c r="B13" s="50"/>
      <c r="C13" s="186">
        <v>2.052</v>
      </c>
      <c r="D13" s="186">
        <v>-3.5419999999999998</v>
      </c>
      <c r="E13" s="186">
        <v>-6.8010000000000002</v>
      </c>
      <c r="F13" s="186">
        <v>1.5620000000000001</v>
      </c>
      <c r="G13" s="186">
        <v>4.6980000000000004</v>
      </c>
      <c r="H13" s="186">
        <v>-5.8339999999999996</v>
      </c>
      <c r="I13" s="208">
        <v>7.9470000000000001</v>
      </c>
      <c r="J13" s="208">
        <v>2.1909999999999998</v>
      </c>
      <c r="K13" s="208">
        <v>2.427</v>
      </c>
      <c r="L13" s="208">
        <v>2.476</v>
      </c>
      <c r="M13" s="208">
        <v>2.5830000000000002</v>
      </c>
      <c r="O13" s="359" t="s">
        <v>591</v>
      </c>
      <c r="AA13" s="265"/>
      <c r="AB13" s="265"/>
      <c r="AC13" s="265"/>
    </row>
    <row r="14" spans="1:29" x14ac:dyDescent="0.2">
      <c r="A14" s="68" t="s">
        <v>278</v>
      </c>
      <c r="B14" s="50"/>
      <c r="C14" s="177">
        <v>0.191</v>
      </c>
      <c r="D14" s="177">
        <v>0.33400000000000002</v>
      </c>
      <c r="E14" s="177">
        <v>0.21199999999999999</v>
      </c>
      <c r="F14" s="177">
        <v>0.22700000000000001</v>
      </c>
      <c r="G14" s="177">
        <v>0.23699999999999999</v>
      </c>
      <c r="H14" s="177">
        <v>0.23300000000000001</v>
      </c>
      <c r="I14" s="107">
        <v>0.25600000000000001</v>
      </c>
      <c r="J14" s="107">
        <v>0.2</v>
      </c>
      <c r="K14" s="107">
        <v>0.21299999999999999</v>
      </c>
      <c r="L14" s="107">
        <v>0.21299999999999999</v>
      </c>
      <c r="M14" s="107">
        <v>0.21199999999999999</v>
      </c>
      <c r="O14" s="259" t="str">
        <f>$O$13</f>
        <v>Used in TC 'Total Gains/(Losses) plus Net Surplus/(Deficit) from associates &amp; joint ventures' total</v>
      </c>
      <c r="AA14" s="265"/>
      <c r="AB14" s="265"/>
      <c r="AC14" s="265"/>
    </row>
    <row r="15" spans="1:29" x14ac:dyDescent="0.2">
      <c r="A15" s="68" t="s">
        <v>557</v>
      </c>
      <c r="B15" s="50"/>
      <c r="C15" s="177">
        <v>-9.1999999999999998E-2</v>
      </c>
      <c r="D15" s="177">
        <v>2.1999999999999999E-2</v>
      </c>
      <c r="E15" s="177">
        <v>2E-3</v>
      </c>
      <c r="F15" s="177">
        <v>0</v>
      </c>
      <c r="G15" s="177">
        <v>0</v>
      </c>
      <c r="H15" s="17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O15" s="259" t="str">
        <f>$O$13</f>
        <v>Used in TC 'Total Gains/(Losses) plus Net Surplus/(Deficit) from associates &amp; joint ventures' total</v>
      </c>
      <c r="AA15" s="265"/>
      <c r="AB15" s="265"/>
      <c r="AC15" s="265"/>
    </row>
    <row r="16" spans="1:29" x14ac:dyDescent="0.2">
      <c r="A16" s="68" t="s">
        <v>569</v>
      </c>
      <c r="B16" s="50"/>
      <c r="C16" s="177">
        <v>-1.2E-2</v>
      </c>
      <c r="D16" s="177">
        <v>6.7000000000000004E-2</v>
      </c>
      <c r="E16" s="177">
        <v>2.5000000000000001E-2</v>
      </c>
      <c r="F16" s="177">
        <v>-1.7000000000000001E-2</v>
      </c>
      <c r="G16" s="177">
        <v>-0.10100000000000001</v>
      </c>
      <c r="H16" s="177">
        <v>5.6000000000000001E-2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O16" s="259" t="str">
        <f>$O$13</f>
        <v>Used in TC 'Total Gains/(Losses) plus Net Surplus/(Deficit) from associates &amp; joint ventures' total</v>
      </c>
      <c r="AA16" s="265"/>
      <c r="AB16" s="265"/>
      <c r="AC16" s="265"/>
    </row>
    <row r="17" spans="1:29" x14ac:dyDescent="0.2">
      <c r="A17" s="50" t="s">
        <v>128</v>
      </c>
      <c r="B17" s="49"/>
      <c r="C17" s="219">
        <v>8.0229999999999997</v>
      </c>
      <c r="D17" s="219">
        <v>2.3839999999999999</v>
      </c>
      <c r="E17" s="219">
        <v>-10.505000000000001</v>
      </c>
      <c r="F17" s="219">
        <v>-4.5090000000000003</v>
      </c>
      <c r="G17" s="219">
        <v>-13.36</v>
      </c>
      <c r="H17" s="219">
        <v>-14.897</v>
      </c>
      <c r="I17" s="278">
        <v>1.9179999999999999</v>
      </c>
      <c r="J17" s="278">
        <v>0.35799999999999998</v>
      </c>
      <c r="K17" s="278">
        <v>2.7149999999999999</v>
      </c>
      <c r="L17" s="278">
        <v>3.4860000000000002</v>
      </c>
      <c r="M17" s="278">
        <v>5.4130000000000003</v>
      </c>
      <c r="O17" s="259" t="s">
        <v>604</v>
      </c>
      <c r="AA17" s="265"/>
      <c r="AB17" s="265"/>
      <c r="AC17" s="265"/>
    </row>
    <row r="18" spans="1:29" ht="13.5" x14ac:dyDescent="0.25">
      <c r="A18" s="223" t="s">
        <v>570</v>
      </c>
      <c r="B18" s="166"/>
      <c r="C18" s="221" t="str">
        <f>IF(ROUND(C$17-(SUM(C$5:C$9)-C$11-SUM(C$20:C$36)+SUM(C$13,C$14,C$15)-C$16),3)=0,"OK","ERROR")</f>
        <v>OK</v>
      </c>
      <c r="D18" s="221" t="str">
        <f t="shared" ref="D18:M18" si="1">IF(ROUND(D$17-(SUM(D$5:D$9)-D$11-SUM(D$20:D$36)+SUM(D$13,D$14,D$15)-D$16),3)=0,"OK","ERROR")</f>
        <v>OK</v>
      </c>
      <c r="E18" s="221" t="str">
        <f t="shared" si="1"/>
        <v>OK</v>
      </c>
      <c r="F18" s="221" t="str">
        <f t="shared" si="1"/>
        <v>OK</v>
      </c>
      <c r="G18" s="221" t="str">
        <f t="shared" si="1"/>
        <v>OK</v>
      </c>
      <c r="H18" s="221" t="str">
        <f t="shared" si="1"/>
        <v>OK</v>
      </c>
      <c r="I18" s="222" t="str">
        <f t="shared" si="1"/>
        <v>OK</v>
      </c>
      <c r="J18" s="222" t="str">
        <f t="shared" si="1"/>
        <v>OK</v>
      </c>
      <c r="K18" s="222" t="str">
        <f t="shared" si="1"/>
        <v>OK</v>
      </c>
      <c r="L18" s="222" t="str">
        <f t="shared" si="1"/>
        <v>OK</v>
      </c>
      <c r="M18" s="222" t="str">
        <f t="shared" si="1"/>
        <v>OK</v>
      </c>
    </row>
    <row r="19" spans="1:29" x14ac:dyDescent="0.2">
      <c r="A19" s="50" t="s">
        <v>362</v>
      </c>
      <c r="B19" s="166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29" x14ac:dyDescent="0.2">
      <c r="A20" s="68" t="s">
        <v>331</v>
      </c>
      <c r="B20" s="68"/>
      <c r="C20" s="178">
        <v>19.829000000000001</v>
      </c>
      <c r="D20" s="178">
        <v>21.509</v>
      </c>
      <c r="E20" s="178">
        <v>23.273</v>
      </c>
      <c r="F20" s="178">
        <v>24.206</v>
      </c>
      <c r="G20" s="178">
        <v>25.324000000000002</v>
      </c>
      <c r="H20" s="178">
        <v>25.457000000000001</v>
      </c>
      <c r="I20" s="107">
        <v>26.439</v>
      </c>
      <c r="J20" s="107">
        <v>27.51</v>
      </c>
      <c r="K20" s="107">
        <v>28.292999999999999</v>
      </c>
      <c r="L20" s="107">
        <v>29.280999999999999</v>
      </c>
      <c r="M20" s="107">
        <v>29.800999999999998</v>
      </c>
      <c r="O20" s="314" t="str">
        <f>$O$3</f>
        <v>√</v>
      </c>
      <c r="AA20" s="265"/>
      <c r="AB20" s="265"/>
      <c r="AC20" s="265"/>
    </row>
    <row r="21" spans="1:29" x14ac:dyDescent="0.2">
      <c r="A21" s="68" t="s">
        <v>332</v>
      </c>
      <c r="B21" s="68"/>
      <c r="C21" s="178">
        <v>0.64500000000000002</v>
      </c>
      <c r="D21" s="178">
        <v>0.69</v>
      </c>
      <c r="E21" s="178">
        <v>0.65500000000000003</v>
      </c>
      <c r="F21" s="178">
        <v>0.33300000000000002</v>
      </c>
      <c r="G21" s="178">
        <v>0.311</v>
      </c>
      <c r="H21" s="178">
        <v>0.19700000000000001</v>
      </c>
      <c r="I21" s="107">
        <v>0.28699999999999998</v>
      </c>
      <c r="J21" s="107">
        <v>0.28299999999999997</v>
      </c>
      <c r="K21" s="107">
        <v>0.315</v>
      </c>
      <c r="L21" s="107">
        <v>0.35699999999999998</v>
      </c>
      <c r="M21" s="107">
        <v>0.39</v>
      </c>
      <c r="O21" s="314" t="str">
        <f>$O$3</f>
        <v>√</v>
      </c>
      <c r="AA21" s="265"/>
      <c r="AB21" s="265"/>
      <c r="AC21" s="265"/>
    </row>
    <row r="22" spans="1:29" x14ac:dyDescent="0.2">
      <c r="A22" s="68" t="s">
        <v>432</v>
      </c>
      <c r="B22" s="68"/>
      <c r="C22" s="178">
        <v>10.661</v>
      </c>
      <c r="D22" s="178">
        <v>10.808999999999999</v>
      </c>
      <c r="E22" s="178">
        <v>12.042</v>
      </c>
      <c r="F22" s="178">
        <v>12.673</v>
      </c>
      <c r="G22" s="178">
        <v>13.068</v>
      </c>
      <c r="H22" s="178">
        <v>13.65</v>
      </c>
      <c r="I22" s="107">
        <v>13.895</v>
      </c>
      <c r="J22" s="107">
        <v>14.351000000000001</v>
      </c>
      <c r="K22" s="107">
        <v>14.237</v>
      </c>
      <c r="L22" s="107">
        <v>14.21</v>
      </c>
      <c r="M22" s="107">
        <v>14.074999999999999</v>
      </c>
      <c r="O22" s="314" t="str">
        <f>$O$3</f>
        <v>√</v>
      </c>
      <c r="AA22" s="265"/>
      <c r="AB22" s="265"/>
      <c r="AC22" s="265"/>
    </row>
    <row r="23" spans="1:29" x14ac:dyDescent="0.2">
      <c r="A23" s="68" t="s">
        <v>520</v>
      </c>
      <c r="B23" s="68"/>
      <c r="C23" s="178">
        <v>9.8529999999999998</v>
      </c>
      <c r="D23" s="178">
        <v>10.397</v>
      </c>
      <c r="E23" s="178">
        <v>12.465</v>
      </c>
      <c r="F23" s="178">
        <v>12.44</v>
      </c>
      <c r="G23" s="178">
        <v>12.406000000000001</v>
      </c>
      <c r="H23" s="178">
        <v>12.407</v>
      </c>
      <c r="I23" s="107">
        <v>13.119</v>
      </c>
      <c r="J23" s="107">
        <v>13.186</v>
      </c>
      <c r="K23" s="107">
        <v>13.266</v>
      </c>
      <c r="L23" s="107">
        <v>13.38</v>
      </c>
      <c r="M23" s="107">
        <v>13.455</v>
      </c>
      <c r="O23" s="314" t="str">
        <f>$O$3</f>
        <v>√</v>
      </c>
      <c r="AA23" s="265"/>
      <c r="AB23" s="265"/>
      <c r="AC23" s="265"/>
    </row>
    <row r="24" spans="1:29" x14ac:dyDescent="0.2">
      <c r="A24" s="68" t="s">
        <v>357</v>
      </c>
      <c r="B24" s="68"/>
      <c r="C24" s="178">
        <v>4.6280000000000001</v>
      </c>
      <c r="D24" s="178">
        <v>3.274</v>
      </c>
      <c r="E24" s="178">
        <v>5.1369999999999996</v>
      </c>
      <c r="F24" s="178">
        <v>2.83</v>
      </c>
      <c r="G24" s="178">
        <v>5.5149999999999997</v>
      </c>
      <c r="H24" s="178">
        <v>5.3049999999999997</v>
      </c>
      <c r="I24" s="107">
        <v>5.5369999999999999</v>
      </c>
      <c r="J24" s="107">
        <v>4.5880000000000001</v>
      </c>
      <c r="K24" s="107">
        <v>4.2160000000000002</v>
      </c>
      <c r="L24" s="107">
        <v>4.2190000000000003</v>
      </c>
      <c r="M24" s="107">
        <v>4.1420000000000003</v>
      </c>
      <c r="O24" s="259" t="s">
        <v>602</v>
      </c>
      <c r="AA24" s="265"/>
      <c r="AB24" s="265"/>
      <c r="AC24" s="265"/>
    </row>
    <row r="25" spans="1:29" x14ac:dyDescent="0.2">
      <c r="A25" s="68" t="s">
        <v>358</v>
      </c>
      <c r="B25" s="68"/>
      <c r="C25" s="178">
        <v>2.8220000000000001</v>
      </c>
      <c r="D25" s="178">
        <v>3.0819999999999999</v>
      </c>
      <c r="E25" s="178">
        <v>3.25</v>
      </c>
      <c r="F25" s="178">
        <v>3.3540000000000001</v>
      </c>
      <c r="G25" s="178">
        <v>3.5670000000000002</v>
      </c>
      <c r="H25" s="178">
        <v>3.5920000000000001</v>
      </c>
      <c r="I25" s="107">
        <v>3.7320000000000002</v>
      </c>
      <c r="J25" s="107">
        <v>3.8039999999999998</v>
      </c>
      <c r="K25" s="107">
        <v>3.7029999999999998</v>
      </c>
      <c r="L25" s="107">
        <v>3.7690000000000001</v>
      </c>
      <c r="M25" s="107">
        <v>3.754</v>
      </c>
      <c r="O25" s="259" t="str">
        <f>$O$24</f>
        <v>Used in TC 'Other Expenses' total</v>
      </c>
      <c r="AA25" s="265"/>
      <c r="AB25" s="265"/>
      <c r="AC25" s="265"/>
    </row>
    <row r="26" spans="1:29" x14ac:dyDescent="0.2">
      <c r="A26" s="68" t="s">
        <v>433</v>
      </c>
      <c r="B26" s="68"/>
      <c r="C26" s="178">
        <v>1.478</v>
      </c>
      <c r="D26" s="178">
        <v>1.5249999999999999</v>
      </c>
      <c r="E26" s="178">
        <v>1.712</v>
      </c>
      <c r="F26" s="178">
        <v>1.7709999999999999</v>
      </c>
      <c r="G26" s="178">
        <v>1.778</v>
      </c>
      <c r="H26" s="178">
        <v>1.6930000000000001</v>
      </c>
      <c r="I26" s="107">
        <v>1.78</v>
      </c>
      <c r="J26" s="107">
        <v>1.893</v>
      </c>
      <c r="K26" s="107">
        <v>1.859</v>
      </c>
      <c r="L26" s="107">
        <v>1.9119999999999999</v>
      </c>
      <c r="M26" s="107">
        <v>1.8169999999999999</v>
      </c>
      <c r="O26" s="259" t="str">
        <f>$O$24</f>
        <v>Used in TC 'Other Expenses' total</v>
      </c>
      <c r="AA26" s="265"/>
      <c r="AB26" s="265"/>
      <c r="AC26" s="265"/>
    </row>
    <row r="27" spans="1:29" x14ac:dyDescent="0.2">
      <c r="A27" s="68" t="s">
        <v>352</v>
      </c>
      <c r="B27" s="68"/>
      <c r="C27" s="178">
        <v>6.99</v>
      </c>
      <c r="D27" s="178">
        <v>7.4240000000000004</v>
      </c>
      <c r="E27" s="178">
        <v>9.0229999999999997</v>
      </c>
      <c r="F27" s="178">
        <v>7.9909999999999997</v>
      </c>
      <c r="G27" s="178">
        <v>8.4019999999999992</v>
      </c>
      <c r="H27" s="178">
        <v>10.259</v>
      </c>
      <c r="I27" s="107">
        <v>8.8049999999999997</v>
      </c>
      <c r="J27" s="107">
        <v>8.5960000000000001</v>
      </c>
      <c r="K27" s="107">
        <v>8.93</v>
      </c>
      <c r="L27" s="107">
        <v>9.1210000000000004</v>
      </c>
      <c r="M27" s="107">
        <v>9.4849999999999994</v>
      </c>
      <c r="O27" s="314" t="str">
        <f>$O$3</f>
        <v>√</v>
      </c>
      <c r="AA27" s="265"/>
      <c r="AB27" s="265"/>
      <c r="AC27" s="265"/>
    </row>
    <row r="28" spans="1:29" x14ac:dyDescent="0.2">
      <c r="A28" s="68" t="s">
        <v>353</v>
      </c>
      <c r="B28" s="68"/>
      <c r="C28" s="178">
        <v>4.7229999999999999</v>
      </c>
      <c r="D28" s="178">
        <v>9.0380000000000003</v>
      </c>
      <c r="E28" s="178">
        <v>7.6950000000000003</v>
      </c>
      <c r="F28" s="178">
        <v>7.5410000000000004</v>
      </c>
      <c r="G28" s="178">
        <v>18.818000000000001</v>
      </c>
      <c r="H28" s="178">
        <v>10.018000000000001</v>
      </c>
      <c r="I28" s="107">
        <v>8.6340000000000003</v>
      </c>
      <c r="J28" s="107">
        <v>8.0579999999999998</v>
      </c>
      <c r="K28" s="107">
        <v>8.5850000000000009</v>
      </c>
      <c r="L28" s="107">
        <v>8.8079999999999998</v>
      </c>
      <c r="M28" s="107">
        <v>9.157</v>
      </c>
      <c r="O28" s="314" t="str">
        <f>$O$3</f>
        <v>√</v>
      </c>
      <c r="AA28" s="265"/>
      <c r="AB28" s="265"/>
      <c r="AC28" s="265"/>
    </row>
    <row r="29" spans="1:29" x14ac:dyDescent="0.2">
      <c r="A29" s="68" t="s">
        <v>354</v>
      </c>
      <c r="B29" s="68"/>
      <c r="C29" s="178">
        <v>1.2330000000000001</v>
      </c>
      <c r="D29" s="178">
        <v>1.4590000000000001</v>
      </c>
      <c r="E29" s="178">
        <v>1.4870000000000001</v>
      </c>
      <c r="F29" s="178">
        <v>1.373</v>
      </c>
      <c r="G29" s="178">
        <v>1.603</v>
      </c>
      <c r="H29" s="178">
        <v>1.5880000000000001</v>
      </c>
      <c r="I29" s="107">
        <v>1.732</v>
      </c>
      <c r="J29" s="107">
        <v>1.962</v>
      </c>
      <c r="K29" s="107">
        <v>1.897</v>
      </c>
      <c r="L29" s="107">
        <v>1.873</v>
      </c>
      <c r="M29" s="107">
        <v>1.847</v>
      </c>
      <c r="O29" s="259" t="str">
        <f>$O$24</f>
        <v>Used in TC 'Other Expenses' total</v>
      </c>
      <c r="AA29" s="265"/>
      <c r="AB29" s="265"/>
      <c r="AC29" s="265"/>
    </row>
    <row r="30" spans="1:29" x14ac:dyDescent="0.2">
      <c r="A30" s="68" t="s">
        <v>355</v>
      </c>
      <c r="B30" s="68"/>
      <c r="C30" s="178">
        <v>1.722</v>
      </c>
      <c r="D30" s="178">
        <v>1.7909999999999999</v>
      </c>
      <c r="E30" s="178">
        <v>1.9810000000000001</v>
      </c>
      <c r="F30" s="178">
        <v>1.9330000000000001</v>
      </c>
      <c r="G30" s="178">
        <v>2.2120000000000002</v>
      </c>
      <c r="H30" s="178">
        <v>2.4460000000000002</v>
      </c>
      <c r="I30" s="107">
        <v>2.5139999999999998</v>
      </c>
      <c r="J30" s="107">
        <v>2.5720000000000001</v>
      </c>
      <c r="K30" s="107">
        <v>2.6110000000000002</v>
      </c>
      <c r="L30" s="107">
        <v>2.67</v>
      </c>
      <c r="M30" s="107">
        <v>2.738</v>
      </c>
      <c r="O30" s="259" t="str">
        <f>$O$24</f>
        <v>Used in TC 'Other Expenses' total</v>
      </c>
      <c r="AA30" s="265"/>
      <c r="AB30" s="265"/>
      <c r="AC30" s="265"/>
    </row>
    <row r="31" spans="1:29" x14ac:dyDescent="0.2">
      <c r="A31" s="68" t="s">
        <v>988</v>
      </c>
      <c r="B31" s="68"/>
      <c r="C31" s="178">
        <v>0.32100000000000001</v>
      </c>
      <c r="D31" s="178">
        <v>0.54600000000000004</v>
      </c>
      <c r="E31" s="178">
        <v>0.41599999999999998</v>
      </c>
      <c r="F31" s="178">
        <v>0.65100000000000002</v>
      </c>
      <c r="G31" s="178">
        <v>1.2250000000000001</v>
      </c>
      <c r="H31" s="178">
        <v>0.76900000000000002</v>
      </c>
      <c r="I31" s="107">
        <v>0.496</v>
      </c>
      <c r="J31" s="107">
        <v>0.47299999999999998</v>
      </c>
      <c r="K31" s="107">
        <v>0.40400000000000003</v>
      </c>
      <c r="L31" s="107">
        <v>0.41699999999999998</v>
      </c>
      <c r="M31" s="107">
        <v>0.40699999999999997</v>
      </c>
      <c r="O31" s="314" t="str">
        <f>$O$3</f>
        <v>√</v>
      </c>
      <c r="AA31" s="265"/>
      <c r="AB31" s="265"/>
      <c r="AC31" s="265"/>
    </row>
    <row r="32" spans="1:29" x14ac:dyDescent="0.2">
      <c r="A32" s="68" t="s">
        <v>356</v>
      </c>
      <c r="B32" s="68"/>
      <c r="C32" s="178">
        <v>0.86499999999999999</v>
      </c>
      <c r="D32" s="178">
        <v>0.93799999999999994</v>
      </c>
      <c r="E32" s="178">
        <v>1.075</v>
      </c>
      <c r="F32" s="178">
        <v>1.087</v>
      </c>
      <c r="G32" s="178">
        <v>1.655</v>
      </c>
      <c r="H32" s="178">
        <v>0.627</v>
      </c>
      <c r="I32" s="107">
        <v>1.0980000000000001</v>
      </c>
      <c r="J32" s="107">
        <v>1.1160000000000001</v>
      </c>
      <c r="K32" s="107">
        <v>1.1299999999999999</v>
      </c>
      <c r="L32" s="107">
        <v>1.0980000000000001</v>
      </c>
      <c r="M32" s="107">
        <v>1.0609999999999999</v>
      </c>
      <c r="O32" s="259" t="str">
        <f>$O$24</f>
        <v>Used in TC 'Other Expenses' total</v>
      </c>
      <c r="AA32" s="265"/>
      <c r="AB32" s="265"/>
      <c r="AC32" s="265"/>
    </row>
    <row r="33" spans="1:29" x14ac:dyDescent="0.2">
      <c r="A33" s="68" t="s">
        <v>434</v>
      </c>
      <c r="B33" s="68"/>
      <c r="C33" s="178">
        <v>7.3999999999999996E-2</v>
      </c>
      <c r="D33" s="178">
        <v>0.25900000000000001</v>
      </c>
      <c r="E33" s="178">
        <v>0.11799999999999999</v>
      </c>
      <c r="F33" s="178">
        <v>0.08</v>
      </c>
      <c r="G33" s="178">
        <v>0.47899999999999998</v>
      </c>
      <c r="H33" s="178">
        <v>0.42499999999999999</v>
      </c>
      <c r="I33" s="107">
        <v>0.65700000000000003</v>
      </c>
      <c r="J33" s="107">
        <v>0.72799999999999998</v>
      </c>
      <c r="K33" s="107">
        <v>0.47699999999999998</v>
      </c>
      <c r="L33" s="107">
        <v>0.70399999999999996</v>
      </c>
      <c r="M33" s="107">
        <v>0.70399999999999996</v>
      </c>
      <c r="O33" s="259" t="str">
        <f>$O$24</f>
        <v>Used in TC 'Other Expenses' total</v>
      </c>
      <c r="AA33" s="265"/>
      <c r="AB33" s="265"/>
      <c r="AC33" s="265"/>
    </row>
    <row r="34" spans="1:29" x14ac:dyDescent="0.2">
      <c r="A34" s="68" t="s">
        <v>152</v>
      </c>
      <c r="B34" s="68"/>
      <c r="C34" s="178">
        <v>2.8849999999999998</v>
      </c>
      <c r="D34" s="178">
        <v>3.101</v>
      </c>
      <c r="E34" s="178">
        <v>3.07</v>
      </c>
      <c r="F34" s="178">
        <v>2.7770000000000001</v>
      </c>
      <c r="G34" s="178">
        <v>3.5960000000000001</v>
      </c>
      <c r="H34" s="178">
        <v>4.29</v>
      </c>
      <c r="I34" s="107">
        <v>4.3010000000000002</v>
      </c>
      <c r="J34" s="107">
        <v>4.516</v>
      </c>
      <c r="K34" s="107">
        <v>4.9340000000000002</v>
      </c>
      <c r="L34" s="107">
        <v>5.0309999999999997</v>
      </c>
      <c r="M34" s="107">
        <v>5.5949999999999998</v>
      </c>
      <c r="O34" s="314" t="str">
        <f>$O$3</f>
        <v>√</v>
      </c>
      <c r="AA34" s="265"/>
      <c r="AB34" s="265"/>
      <c r="AC34" s="265"/>
    </row>
    <row r="35" spans="1:29" x14ac:dyDescent="0.2">
      <c r="A35" s="68" t="s">
        <v>378</v>
      </c>
      <c r="B35" s="68"/>
      <c r="C35" s="178">
        <v>0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07">
        <v>4.2000000000000003E-2</v>
      </c>
      <c r="J35" s="107">
        <v>0.46100000000000002</v>
      </c>
      <c r="K35" s="107">
        <v>1.3240000000000001</v>
      </c>
      <c r="L35" s="107">
        <v>2.347</v>
      </c>
      <c r="M35" s="107">
        <v>3.4079999999999999</v>
      </c>
      <c r="O35" s="259" t="s">
        <v>603</v>
      </c>
      <c r="AA35" s="265"/>
      <c r="AB35" s="265"/>
      <c r="AC35" s="265"/>
    </row>
    <row r="36" spans="1:29" x14ac:dyDescent="0.2">
      <c r="A36" s="68" t="s">
        <v>277</v>
      </c>
      <c r="B36" s="68"/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07">
        <v>-0.33</v>
      </c>
      <c r="J36" s="107">
        <v>-0.6</v>
      </c>
      <c r="K36" s="107">
        <v>-0.25</v>
      </c>
      <c r="L36" s="107">
        <v>-0.3</v>
      </c>
      <c r="M36" s="107">
        <v>-0.3</v>
      </c>
      <c r="O36" s="259" t="str">
        <f>$O$24</f>
        <v>Used in TC 'Other Expenses' total</v>
      </c>
      <c r="AA36" s="265"/>
      <c r="AB36" s="265"/>
      <c r="AC36" s="265"/>
    </row>
    <row r="37" spans="1:29" x14ac:dyDescent="0.2">
      <c r="A37" s="50" t="s">
        <v>281</v>
      </c>
      <c r="B37" s="50"/>
      <c r="C37" s="180">
        <f t="shared" ref="C37:M37" si="2">SUM(C$20:C$36)</f>
        <v>68.728999999999999</v>
      </c>
      <c r="D37" s="180">
        <f t="shared" si="2"/>
        <v>75.842000000000013</v>
      </c>
      <c r="E37" s="180">
        <f t="shared" si="2"/>
        <v>83.398999999999987</v>
      </c>
      <c r="F37" s="180">
        <f t="shared" si="2"/>
        <v>81.039999999999992</v>
      </c>
      <c r="G37" s="180">
        <f t="shared" si="2"/>
        <v>99.958999999999989</v>
      </c>
      <c r="H37" s="180">
        <f t="shared" si="2"/>
        <v>92.722999999999999</v>
      </c>
      <c r="I37" s="113">
        <f t="shared" si="2"/>
        <v>92.737999999999985</v>
      </c>
      <c r="J37" s="113">
        <f t="shared" si="2"/>
        <v>93.497000000000014</v>
      </c>
      <c r="K37" s="113">
        <f t="shared" si="2"/>
        <v>95.930999999999997</v>
      </c>
      <c r="L37" s="113">
        <f t="shared" si="2"/>
        <v>98.89700000000002</v>
      </c>
      <c r="M37" s="113">
        <f t="shared" si="2"/>
        <v>101.53599999999999</v>
      </c>
      <c r="AA37" s="265"/>
      <c r="AB37" s="265"/>
      <c r="AC37" s="265"/>
    </row>
    <row r="38" spans="1:29" x14ac:dyDescent="0.2">
      <c r="A38" s="50" t="s">
        <v>390</v>
      </c>
      <c r="B38" s="50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AA38" s="265"/>
      <c r="AB38" s="265"/>
      <c r="AC38" s="265"/>
    </row>
    <row r="39" spans="1:29" x14ac:dyDescent="0.2">
      <c r="A39" s="68" t="s">
        <v>331</v>
      </c>
      <c r="B39" s="68"/>
      <c r="C39" s="178">
        <v>16.768000000000001</v>
      </c>
      <c r="D39" s="178">
        <v>17.876999999999999</v>
      </c>
      <c r="E39" s="178">
        <v>19.382000000000001</v>
      </c>
      <c r="F39" s="178">
        <v>21.184999999999999</v>
      </c>
      <c r="G39" s="178">
        <v>22.004999999999999</v>
      </c>
      <c r="H39" s="178">
        <v>22.027999999999999</v>
      </c>
      <c r="I39" s="107">
        <v>22.893000000000001</v>
      </c>
      <c r="J39" s="107">
        <v>23.594999999999999</v>
      </c>
      <c r="K39" s="107">
        <v>24.11</v>
      </c>
      <c r="L39" s="107">
        <v>24.533999999999999</v>
      </c>
      <c r="M39" s="107">
        <v>25.245999999999999</v>
      </c>
      <c r="O39" s="314" t="str">
        <f t="shared" ref="O39:O50" si="3">$O$3</f>
        <v>√</v>
      </c>
      <c r="AA39" s="265"/>
      <c r="AB39" s="265"/>
      <c r="AC39" s="265"/>
    </row>
    <row r="40" spans="1:29" x14ac:dyDescent="0.2">
      <c r="A40" s="68" t="s">
        <v>332</v>
      </c>
      <c r="B40" s="68"/>
      <c r="C40" s="178">
        <v>0.64500000000000002</v>
      </c>
      <c r="D40" s="178">
        <v>0.69</v>
      </c>
      <c r="E40" s="178">
        <v>0.65500000000000003</v>
      </c>
      <c r="F40" s="178">
        <v>0.32800000000000001</v>
      </c>
      <c r="G40" s="178">
        <v>0.30499999999999999</v>
      </c>
      <c r="H40" s="178">
        <v>0.192</v>
      </c>
      <c r="I40" s="107">
        <v>0.27800000000000002</v>
      </c>
      <c r="J40" s="107">
        <v>0.27400000000000002</v>
      </c>
      <c r="K40" s="107">
        <v>0.30599999999999999</v>
      </c>
      <c r="L40" s="107">
        <v>0.34699999999999998</v>
      </c>
      <c r="M40" s="107">
        <v>0.38</v>
      </c>
      <c r="O40" s="314" t="str">
        <f t="shared" si="3"/>
        <v>√</v>
      </c>
      <c r="AA40" s="265"/>
      <c r="AB40" s="265"/>
      <c r="AC40" s="265"/>
    </row>
    <row r="41" spans="1:29" x14ac:dyDescent="0.2">
      <c r="A41" s="68" t="s">
        <v>432</v>
      </c>
      <c r="B41" s="68"/>
      <c r="C41" s="177">
        <v>10.355</v>
      </c>
      <c r="D41" s="177">
        <v>11.297000000000001</v>
      </c>
      <c r="E41" s="177">
        <v>12.368</v>
      </c>
      <c r="F41" s="177">
        <v>13.128</v>
      </c>
      <c r="G41" s="177">
        <v>13.753</v>
      </c>
      <c r="H41" s="177">
        <v>14.16</v>
      </c>
      <c r="I41" s="107">
        <v>14.526</v>
      </c>
      <c r="J41" s="107">
        <v>14.95</v>
      </c>
      <c r="K41" s="107">
        <v>14.88</v>
      </c>
      <c r="L41" s="107">
        <v>14.91</v>
      </c>
      <c r="M41" s="107">
        <v>14.888</v>
      </c>
      <c r="O41" s="314" t="str">
        <f t="shared" si="3"/>
        <v>√</v>
      </c>
      <c r="AA41" s="265"/>
      <c r="AB41" s="265"/>
      <c r="AC41" s="265"/>
    </row>
    <row r="42" spans="1:29" x14ac:dyDescent="0.2">
      <c r="A42" s="68" t="s">
        <v>520</v>
      </c>
      <c r="B42" s="68"/>
      <c r="C42" s="184">
        <v>9.2690000000000001</v>
      </c>
      <c r="D42" s="184">
        <v>9.5510000000000002</v>
      </c>
      <c r="E42" s="184">
        <v>11.455</v>
      </c>
      <c r="F42" s="184">
        <v>11.724</v>
      </c>
      <c r="G42" s="184">
        <v>11.65</v>
      </c>
      <c r="H42" s="184">
        <v>11.654</v>
      </c>
      <c r="I42" s="107">
        <v>12.355</v>
      </c>
      <c r="J42" s="107">
        <v>12.388999999999999</v>
      </c>
      <c r="K42" s="107">
        <v>12.462</v>
      </c>
      <c r="L42" s="107">
        <v>12.555999999999999</v>
      </c>
      <c r="M42" s="107">
        <v>12.61</v>
      </c>
      <c r="O42" s="314" t="str">
        <f t="shared" si="3"/>
        <v>√</v>
      </c>
      <c r="AA42" s="265"/>
      <c r="AB42" s="265"/>
      <c r="AC42" s="265"/>
    </row>
    <row r="43" spans="1:29" x14ac:dyDescent="0.2">
      <c r="A43" s="68" t="s">
        <v>357</v>
      </c>
      <c r="B43" s="68"/>
      <c r="C43" s="177">
        <v>4.8159999999999998</v>
      </c>
      <c r="D43" s="177">
        <v>3.371</v>
      </c>
      <c r="E43" s="177">
        <v>5.2930000000000001</v>
      </c>
      <c r="F43" s="177">
        <v>2.9740000000000002</v>
      </c>
      <c r="G43" s="177">
        <v>5.5629999999999997</v>
      </c>
      <c r="H43" s="177">
        <v>5.4279999999999999</v>
      </c>
      <c r="I43" s="107">
        <v>5.5720000000000001</v>
      </c>
      <c r="J43" s="107">
        <v>4.6369999999999996</v>
      </c>
      <c r="K43" s="107">
        <v>4.2770000000000001</v>
      </c>
      <c r="L43" s="107">
        <v>4.2779999999999996</v>
      </c>
      <c r="M43" s="107">
        <v>4.2030000000000003</v>
      </c>
      <c r="O43" s="314" t="str">
        <f t="shared" si="3"/>
        <v>√</v>
      </c>
      <c r="AA43" s="265"/>
      <c r="AB43" s="265"/>
      <c r="AC43" s="265"/>
    </row>
    <row r="44" spans="1:29" x14ac:dyDescent="0.2">
      <c r="A44" s="68" t="s">
        <v>358</v>
      </c>
      <c r="B44" s="68"/>
      <c r="C44" s="177">
        <v>2.6989999999999998</v>
      </c>
      <c r="D44" s="177">
        <v>2.8940000000000001</v>
      </c>
      <c r="E44" s="177">
        <v>3.089</v>
      </c>
      <c r="F44" s="177">
        <v>3.1909999999999998</v>
      </c>
      <c r="G44" s="177">
        <v>3.3820000000000001</v>
      </c>
      <c r="H44" s="177">
        <v>3.403</v>
      </c>
      <c r="I44" s="107">
        <v>3.5110000000000001</v>
      </c>
      <c r="J44" s="107">
        <v>3.5609999999999999</v>
      </c>
      <c r="K44" s="107">
        <v>3.45</v>
      </c>
      <c r="L44" s="107">
        <v>3.508</v>
      </c>
      <c r="M44" s="107">
        <v>3.4809999999999999</v>
      </c>
      <c r="O44" s="314" t="str">
        <f t="shared" si="3"/>
        <v>√</v>
      </c>
      <c r="AA44" s="265"/>
      <c r="AB44" s="265"/>
      <c r="AC44" s="265"/>
    </row>
    <row r="45" spans="1:29" x14ac:dyDescent="0.2">
      <c r="A45" s="68" t="s">
        <v>433</v>
      </c>
      <c r="B45" s="68"/>
      <c r="C45" s="177">
        <v>1.5169999999999999</v>
      </c>
      <c r="D45" s="177">
        <v>1.5620000000000001</v>
      </c>
      <c r="E45" s="177">
        <v>1.7569999999999999</v>
      </c>
      <c r="F45" s="177">
        <v>1.8140000000000001</v>
      </c>
      <c r="G45" s="177">
        <v>1.8089999999999999</v>
      </c>
      <c r="H45" s="177">
        <v>1.736</v>
      </c>
      <c r="I45" s="107">
        <v>1.8220000000000001</v>
      </c>
      <c r="J45" s="107">
        <v>1.9330000000000001</v>
      </c>
      <c r="K45" s="107">
        <v>1.9</v>
      </c>
      <c r="L45" s="107">
        <v>1.952</v>
      </c>
      <c r="M45" s="107">
        <v>1.857</v>
      </c>
      <c r="O45" s="314" t="str">
        <f t="shared" si="3"/>
        <v>√</v>
      </c>
      <c r="AA45" s="265"/>
      <c r="AB45" s="265"/>
      <c r="AC45" s="265"/>
    </row>
    <row r="46" spans="1:29" x14ac:dyDescent="0.2">
      <c r="A46" s="68" t="s">
        <v>352</v>
      </c>
      <c r="B46" s="68"/>
      <c r="C46" s="177">
        <v>2.4049999999999998</v>
      </c>
      <c r="D46" s="177">
        <v>2.2440000000000002</v>
      </c>
      <c r="E46" s="177">
        <v>2.6629999999999998</v>
      </c>
      <c r="F46" s="177">
        <v>2.3450000000000002</v>
      </c>
      <c r="G46" s="177">
        <v>2.2810000000000001</v>
      </c>
      <c r="H46" s="177">
        <v>2.2320000000000002</v>
      </c>
      <c r="I46" s="107">
        <v>2.3519999999999999</v>
      </c>
      <c r="J46" s="107">
        <v>2.1619999999999999</v>
      </c>
      <c r="K46" s="107">
        <v>2.2189999999999999</v>
      </c>
      <c r="L46" s="107">
        <v>2.1469999999999998</v>
      </c>
      <c r="M46" s="107">
        <v>2.218</v>
      </c>
      <c r="O46" s="314" t="str">
        <f t="shared" si="3"/>
        <v>√</v>
      </c>
      <c r="AA46" s="265"/>
      <c r="AB46" s="265"/>
      <c r="AC46" s="265"/>
    </row>
    <row r="47" spans="1:29" x14ac:dyDescent="0.2">
      <c r="A47" s="68" t="s">
        <v>353</v>
      </c>
      <c r="B47" s="68"/>
      <c r="C47" s="177">
        <v>1.595</v>
      </c>
      <c r="D47" s="184">
        <v>2.8889999999999998</v>
      </c>
      <c r="E47" s="184">
        <v>2.96</v>
      </c>
      <c r="F47" s="184">
        <v>2.839</v>
      </c>
      <c r="G47" s="184">
        <v>2.609</v>
      </c>
      <c r="H47" s="184">
        <v>2.157</v>
      </c>
      <c r="I47" s="107">
        <v>2.052</v>
      </c>
      <c r="J47" s="107">
        <v>2.1520000000000001</v>
      </c>
      <c r="K47" s="107">
        <v>2.093</v>
      </c>
      <c r="L47" s="107">
        <v>2.1120000000000001</v>
      </c>
      <c r="M47" s="107">
        <v>2.125</v>
      </c>
      <c r="O47" s="314" t="str">
        <f t="shared" si="3"/>
        <v>√</v>
      </c>
      <c r="AA47" s="265"/>
      <c r="AB47" s="265"/>
      <c r="AC47" s="265"/>
    </row>
    <row r="48" spans="1:29" x14ac:dyDescent="0.2">
      <c r="A48" s="68" t="s">
        <v>354</v>
      </c>
      <c r="B48" s="68"/>
      <c r="C48" s="177">
        <v>0.438</v>
      </c>
      <c r="D48" s="177">
        <v>0.54100000000000004</v>
      </c>
      <c r="E48" s="177">
        <v>0.53400000000000003</v>
      </c>
      <c r="F48" s="177">
        <v>0.50700000000000001</v>
      </c>
      <c r="G48" s="177">
        <v>0.70599999999999996</v>
      </c>
      <c r="H48" s="177">
        <v>0.64800000000000002</v>
      </c>
      <c r="I48" s="107">
        <v>0.68400000000000005</v>
      </c>
      <c r="J48" s="107">
        <v>0.81799999999999995</v>
      </c>
      <c r="K48" s="107">
        <v>0.72499999999999998</v>
      </c>
      <c r="L48" s="107">
        <v>0.69799999999999995</v>
      </c>
      <c r="M48" s="107">
        <v>0.66900000000000004</v>
      </c>
      <c r="O48" s="314" t="str">
        <f t="shared" si="3"/>
        <v>√</v>
      </c>
      <c r="AA48" s="265"/>
      <c r="AB48" s="265"/>
      <c r="AC48" s="265"/>
    </row>
    <row r="49" spans="1:29" x14ac:dyDescent="0.2">
      <c r="A49" s="68" t="s">
        <v>355</v>
      </c>
      <c r="B49" s="68"/>
      <c r="C49" s="177">
        <v>0.52300000000000002</v>
      </c>
      <c r="D49" s="178">
        <v>0.56100000000000005</v>
      </c>
      <c r="E49" s="178">
        <v>0.58599999999999997</v>
      </c>
      <c r="F49" s="178">
        <v>0.63</v>
      </c>
      <c r="G49" s="178">
        <v>0.74099999999999999</v>
      </c>
      <c r="H49" s="177">
        <v>0.86299999999999999</v>
      </c>
      <c r="I49" s="107">
        <v>0.84199999999999997</v>
      </c>
      <c r="J49" s="107">
        <v>0.85399999999999998</v>
      </c>
      <c r="K49" s="107">
        <v>0.80800000000000005</v>
      </c>
      <c r="L49" s="107">
        <v>0.80100000000000005</v>
      </c>
      <c r="M49" s="107">
        <v>0.79900000000000004</v>
      </c>
      <c r="O49" s="314" t="str">
        <f t="shared" si="3"/>
        <v>√</v>
      </c>
      <c r="AA49" s="265"/>
      <c r="AB49" s="265"/>
      <c r="AC49" s="265"/>
    </row>
    <row r="50" spans="1:29" x14ac:dyDescent="0.2">
      <c r="A50" s="68" t="s">
        <v>988</v>
      </c>
      <c r="B50" s="68"/>
      <c r="C50" s="178">
        <v>0.32100000000000001</v>
      </c>
      <c r="D50" s="178">
        <v>0.54600000000000004</v>
      </c>
      <c r="E50" s="178">
        <v>0.41599999999999998</v>
      </c>
      <c r="F50" s="178">
        <v>0.65100000000000002</v>
      </c>
      <c r="G50" s="178">
        <v>1.2250000000000001</v>
      </c>
      <c r="H50" s="178">
        <v>0.76900000000000002</v>
      </c>
      <c r="I50" s="107">
        <v>0.51900000000000002</v>
      </c>
      <c r="J50" s="107">
        <v>0.496</v>
      </c>
      <c r="K50" s="107">
        <v>0.42799999999999999</v>
      </c>
      <c r="L50" s="107">
        <v>0.44</v>
      </c>
      <c r="M50" s="107">
        <v>0.43</v>
      </c>
      <c r="O50" s="314" t="str">
        <f t="shared" si="3"/>
        <v>√</v>
      </c>
      <c r="AA50" s="265"/>
      <c r="AB50" s="265"/>
      <c r="AC50" s="265"/>
    </row>
    <row r="51" spans="1:29" x14ac:dyDescent="0.2">
      <c r="A51" s="68" t="s">
        <v>356</v>
      </c>
      <c r="B51" s="68"/>
      <c r="C51" s="177">
        <v>0.255</v>
      </c>
      <c r="D51" s="177">
        <v>0.26</v>
      </c>
      <c r="E51" s="177">
        <v>0.29699999999999999</v>
      </c>
      <c r="F51" s="177">
        <v>0.30599999999999999</v>
      </c>
      <c r="G51" s="177">
        <v>0.876</v>
      </c>
      <c r="H51" s="177">
        <v>-0.13</v>
      </c>
      <c r="I51" s="107">
        <v>0.317</v>
      </c>
      <c r="J51" s="107">
        <v>0.33500000000000002</v>
      </c>
      <c r="K51" s="107">
        <v>0.32</v>
      </c>
      <c r="L51" s="107">
        <v>0.26100000000000001</v>
      </c>
      <c r="M51" s="107">
        <v>0.2</v>
      </c>
      <c r="O51" s="259" t="s">
        <v>938</v>
      </c>
      <c r="AA51" s="265"/>
      <c r="AB51" s="265"/>
      <c r="AC51" s="265"/>
    </row>
    <row r="52" spans="1:29" x14ac:dyDescent="0.2">
      <c r="A52" s="68" t="s">
        <v>434</v>
      </c>
      <c r="B52" s="68"/>
      <c r="C52" s="177">
        <v>6.8000000000000005E-2</v>
      </c>
      <c r="D52" s="177">
        <v>0.254</v>
      </c>
      <c r="E52" s="177">
        <v>0.11799999999999999</v>
      </c>
      <c r="F52" s="177">
        <v>0.08</v>
      </c>
      <c r="G52" s="177">
        <v>0.47899999999999998</v>
      </c>
      <c r="H52" s="177">
        <v>0.42499999999999999</v>
      </c>
      <c r="I52" s="107">
        <v>0.65700000000000003</v>
      </c>
      <c r="J52" s="107">
        <v>0.72799999999999998</v>
      </c>
      <c r="K52" s="107">
        <v>0.47699999999999998</v>
      </c>
      <c r="L52" s="107">
        <v>0.70399999999999996</v>
      </c>
      <c r="M52" s="107">
        <v>0.70399999999999996</v>
      </c>
      <c r="O52" s="259" t="str">
        <f>$O$51</f>
        <v>Used in 'CC Housing &amp; Community Development, Other &amp; Top-down expense adjustment' total</v>
      </c>
      <c r="AA52" s="265"/>
      <c r="AB52" s="265"/>
      <c r="AC52" s="265"/>
    </row>
    <row r="53" spans="1:29" x14ac:dyDescent="0.2">
      <c r="A53" s="68" t="s">
        <v>152</v>
      </c>
      <c r="B53" s="68"/>
      <c r="C53" s="177">
        <v>2.3290000000000002</v>
      </c>
      <c r="D53" s="177">
        <v>2.46</v>
      </c>
      <c r="E53" s="177">
        <v>2.4289999999999998</v>
      </c>
      <c r="F53" s="177">
        <v>2.3109999999999999</v>
      </c>
      <c r="G53" s="177">
        <v>3.0659999999999998</v>
      </c>
      <c r="H53" s="177">
        <v>3.5110000000000001</v>
      </c>
      <c r="I53" s="107">
        <v>3.5569999999999999</v>
      </c>
      <c r="J53" s="107">
        <v>3.6219999999999999</v>
      </c>
      <c r="K53" s="107">
        <v>3.9279999999999999</v>
      </c>
      <c r="L53" s="107">
        <v>3.883</v>
      </c>
      <c r="M53" s="107">
        <v>4.2729999999999997</v>
      </c>
      <c r="O53" s="314" t="str">
        <f>$O$3</f>
        <v>√</v>
      </c>
      <c r="AA53" s="265"/>
      <c r="AB53" s="265"/>
      <c r="AC53" s="265"/>
    </row>
    <row r="54" spans="1:29" x14ac:dyDescent="0.2">
      <c r="A54" s="68" t="s">
        <v>530</v>
      </c>
      <c r="B54" s="68"/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07">
        <v>4.2000000000000003E-2</v>
      </c>
      <c r="J54" s="107">
        <v>0.46100000000000002</v>
      </c>
      <c r="K54" s="107">
        <v>1.3240000000000001</v>
      </c>
      <c r="L54" s="107">
        <v>2.347</v>
      </c>
      <c r="M54" s="107">
        <v>3.4079999999999999</v>
      </c>
      <c r="O54" s="314" t="str">
        <f>$O$3</f>
        <v>√</v>
      </c>
      <c r="AA54" s="265"/>
      <c r="AB54" s="265"/>
      <c r="AC54" s="265"/>
    </row>
    <row r="55" spans="1:29" x14ac:dyDescent="0.2">
      <c r="A55" s="68" t="s">
        <v>277</v>
      </c>
      <c r="B55" s="68"/>
      <c r="C55" s="177">
        <v>0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07">
        <v>-0.33</v>
      </c>
      <c r="J55" s="107">
        <v>-0.6</v>
      </c>
      <c r="K55" s="107">
        <v>-0.25</v>
      </c>
      <c r="L55" s="107">
        <v>-0.3</v>
      </c>
      <c r="M55" s="107">
        <v>-0.3</v>
      </c>
      <c r="O55" s="259" t="str">
        <f>$O$51</f>
        <v>Used in 'CC Housing &amp; Community Development, Other &amp; Top-down expense adjustment' total</v>
      </c>
      <c r="AA55" s="265"/>
      <c r="AB55" s="265"/>
      <c r="AC55" s="265"/>
    </row>
    <row r="56" spans="1:29" x14ac:dyDescent="0.2">
      <c r="A56" s="50" t="s">
        <v>571</v>
      </c>
      <c r="B56" s="68"/>
      <c r="C56" s="180">
        <f t="shared" ref="C56:M56" si="4">SUM(C$39:C$55)</f>
        <v>54.003000000000007</v>
      </c>
      <c r="D56" s="180">
        <f t="shared" si="4"/>
        <v>56.996999999999993</v>
      </c>
      <c r="E56" s="180">
        <f t="shared" si="4"/>
        <v>64.001999999999981</v>
      </c>
      <c r="F56" s="180">
        <f t="shared" si="4"/>
        <v>64.013000000000005</v>
      </c>
      <c r="G56" s="180">
        <f t="shared" si="4"/>
        <v>70.45</v>
      </c>
      <c r="H56" s="180">
        <f t="shared" si="4"/>
        <v>69.075999999999993</v>
      </c>
      <c r="I56" s="113">
        <f t="shared" si="4"/>
        <v>71.649000000000015</v>
      </c>
      <c r="J56" s="113">
        <f t="shared" si="4"/>
        <v>72.366999999999976</v>
      </c>
      <c r="K56" s="113">
        <f t="shared" si="4"/>
        <v>73.456999999999994</v>
      </c>
      <c r="L56" s="113">
        <f t="shared" si="4"/>
        <v>75.177999999999969</v>
      </c>
      <c r="M56" s="113">
        <f t="shared" si="4"/>
        <v>77.191000000000003</v>
      </c>
      <c r="AA56" s="265"/>
      <c r="AB56" s="265"/>
      <c r="AC56" s="265"/>
    </row>
    <row r="57" spans="1:29" ht="15.75" x14ac:dyDescent="0.25">
      <c r="A57" s="51" t="s">
        <v>572</v>
      </c>
      <c r="B57" s="5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AA57" s="265"/>
      <c r="AB57" s="265"/>
      <c r="AC57" s="265"/>
    </row>
    <row r="58" spans="1:29" x14ac:dyDescent="0.2">
      <c r="A58" s="68" t="s">
        <v>289</v>
      </c>
      <c r="B58" s="68"/>
      <c r="C58" s="177">
        <v>4.1630000000000003</v>
      </c>
      <c r="D58" s="177">
        <v>3.8039999999999998</v>
      </c>
      <c r="E58" s="177">
        <v>6.2679999999999998</v>
      </c>
      <c r="F58" s="177">
        <v>7.774</v>
      </c>
      <c r="G58" s="177">
        <v>9.8010000000000002</v>
      </c>
      <c r="H58" s="177">
        <v>10.686</v>
      </c>
      <c r="I58" s="107">
        <v>16.492000000000001</v>
      </c>
      <c r="J58" s="107">
        <v>15.244</v>
      </c>
      <c r="K58" s="107">
        <v>14.53</v>
      </c>
      <c r="L58" s="107">
        <v>14.680999999999999</v>
      </c>
      <c r="M58" s="107">
        <v>14.752000000000001</v>
      </c>
      <c r="O58" s="314" t="str">
        <f>$O$3</f>
        <v>√</v>
      </c>
      <c r="AA58" s="265"/>
      <c r="AB58" s="265"/>
      <c r="AC58" s="265"/>
    </row>
    <row r="59" spans="1:29" x14ac:dyDescent="0.2">
      <c r="A59" s="68" t="s">
        <v>338</v>
      </c>
      <c r="B59" s="68"/>
      <c r="C59" s="177">
        <v>12.058</v>
      </c>
      <c r="D59" s="177">
        <v>14.157999999999999</v>
      </c>
      <c r="E59" s="177">
        <v>14.619</v>
      </c>
      <c r="F59" s="177">
        <v>13.884</v>
      </c>
      <c r="G59" s="177">
        <v>21.69</v>
      </c>
      <c r="H59" s="177">
        <v>20.956</v>
      </c>
      <c r="I59" s="107">
        <v>19.189</v>
      </c>
      <c r="J59" s="107">
        <v>18.07</v>
      </c>
      <c r="K59" s="107">
        <v>16.856999999999999</v>
      </c>
      <c r="L59" s="107">
        <v>16.431999999999999</v>
      </c>
      <c r="M59" s="107">
        <v>16.552</v>
      </c>
      <c r="O59" s="314" t="str">
        <f>$O$3</f>
        <v>√</v>
      </c>
      <c r="AA59" s="265"/>
      <c r="AB59" s="265"/>
      <c r="AC59" s="265"/>
    </row>
    <row r="60" spans="1:29" x14ac:dyDescent="0.2">
      <c r="A60" s="68" t="s">
        <v>290</v>
      </c>
      <c r="B60" s="68"/>
      <c r="C60" s="177">
        <v>32.125</v>
      </c>
      <c r="D60" s="177">
        <v>41.189</v>
      </c>
      <c r="E60" s="177">
        <v>45.707999999999998</v>
      </c>
      <c r="F60" s="177">
        <v>43.686999999999998</v>
      </c>
      <c r="G60" s="177">
        <v>49.055999999999997</v>
      </c>
      <c r="H60" s="177">
        <v>48.384999999999998</v>
      </c>
      <c r="I60" s="107">
        <v>40.392000000000003</v>
      </c>
      <c r="J60" s="107">
        <v>44.713000000000001</v>
      </c>
      <c r="K60" s="107">
        <v>38.558</v>
      </c>
      <c r="L60" s="107">
        <v>42.363</v>
      </c>
      <c r="M60" s="107">
        <v>48.918999999999997</v>
      </c>
      <c r="O60" s="358" t="s">
        <v>690</v>
      </c>
      <c r="AA60" s="265"/>
      <c r="AB60" s="265"/>
      <c r="AC60" s="265"/>
    </row>
    <row r="61" spans="1:29" x14ac:dyDescent="0.2">
      <c r="A61" s="68" t="s">
        <v>291</v>
      </c>
      <c r="B61" s="68"/>
      <c r="C61" s="177">
        <v>13.581</v>
      </c>
      <c r="D61" s="177">
        <v>12.964</v>
      </c>
      <c r="E61" s="177">
        <v>11.16</v>
      </c>
      <c r="F61" s="177">
        <v>12.179</v>
      </c>
      <c r="G61" s="177">
        <v>14.247999999999999</v>
      </c>
      <c r="H61" s="177">
        <v>14.385</v>
      </c>
      <c r="I61" s="107">
        <v>16.616</v>
      </c>
      <c r="J61" s="107">
        <v>18.175999999999998</v>
      </c>
      <c r="K61" s="107">
        <v>19.814</v>
      </c>
      <c r="L61" s="107">
        <v>21.576000000000001</v>
      </c>
      <c r="M61" s="107">
        <v>23.425000000000001</v>
      </c>
      <c r="O61" s="259" t="str">
        <f>$O$60</f>
        <v>Used in TC 'Marketable securities, derivatives in gain and share investments' total</v>
      </c>
      <c r="AA61" s="265"/>
      <c r="AB61" s="265"/>
      <c r="AC61" s="265"/>
    </row>
    <row r="62" spans="1:29" x14ac:dyDescent="0.2">
      <c r="A62" s="68" t="s">
        <v>337</v>
      </c>
      <c r="B62" s="68"/>
      <c r="C62" s="177">
        <v>11.792999999999999</v>
      </c>
      <c r="D62" s="177">
        <v>12.948</v>
      </c>
      <c r="E62" s="177">
        <v>15.603999999999999</v>
      </c>
      <c r="F62" s="177">
        <v>18.446999999999999</v>
      </c>
      <c r="G62" s="177">
        <v>20.567</v>
      </c>
      <c r="H62" s="177">
        <v>21.765999999999998</v>
      </c>
      <c r="I62" s="107">
        <v>23.431999999999999</v>
      </c>
      <c r="J62" s="107">
        <v>25.312000000000001</v>
      </c>
      <c r="K62" s="107">
        <v>27.751000000000001</v>
      </c>
      <c r="L62" s="107">
        <v>30.309000000000001</v>
      </c>
      <c r="M62" s="107">
        <v>33.131</v>
      </c>
      <c r="O62" s="314" t="str">
        <f>$O$3</f>
        <v>√</v>
      </c>
      <c r="AA62" s="265"/>
      <c r="AB62" s="265"/>
      <c r="AC62" s="265"/>
    </row>
    <row r="63" spans="1:29" x14ac:dyDescent="0.2">
      <c r="A63" s="68" t="s">
        <v>292</v>
      </c>
      <c r="B63" s="68"/>
      <c r="C63" s="177">
        <v>0.82599999999999996</v>
      </c>
      <c r="D63" s="177">
        <v>0.96399999999999997</v>
      </c>
      <c r="E63" s="177">
        <v>1.0820000000000001</v>
      </c>
      <c r="F63" s="177">
        <v>1.1599999999999999</v>
      </c>
      <c r="G63" s="177">
        <v>1.3080000000000001</v>
      </c>
      <c r="H63" s="177">
        <v>1.234</v>
      </c>
      <c r="I63" s="107">
        <v>1.248</v>
      </c>
      <c r="J63" s="107">
        <v>1.321</v>
      </c>
      <c r="K63" s="107">
        <v>1.3959999999999999</v>
      </c>
      <c r="L63" s="107">
        <v>1.454</v>
      </c>
      <c r="M63" s="107">
        <v>1.474</v>
      </c>
      <c r="O63" s="358" t="s">
        <v>691</v>
      </c>
      <c r="AA63" s="265"/>
      <c r="AB63" s="265"/>
      <c r="AC63" s="265"/>
    </row>
    <row r="64" spans="1:29" x14ac:dyDescent="0.2">
      <c r="A64" s="68" t="s">
        <v>293</v>
      </c>
      <c r="B64" s="68"/>
      <c r="C64" s="177">
        <v>1.5269999999999999</v>
      </c>
      <c r="D64" s="177">
        <v>1.663</v>
      </c>
      <c r="E64" s="177">
        <v>1.63</v>
      </c>
      <c r="F64" s="177">
        <v>1.661</v>
      </c>
      <c r="G64" s="177">
        <v>1.996</v>
      </c>
      <c r="H64" s="177">
        <v>2.1339999999999999</v>
      </c>
      <c r="I64" s="107">
        <v>2.0640000000000001</v>
      </c>
      <c r="J64" s="107">
        <v>2.0609999999999999</v>
      </c>
      <c r="K64" s="107">
        <v>1.841</v>
      </c>
      <c r="L64" s="107">
        <v>1.804</v>
      </c>
      <c r="M64" s="107">
        <v>1.7989999999999999</v>
      </c>
      <c r="O64" s="259" t="str">
        <f>$O$63</f>
        <v>Used in TC 'Non-financial assets excluding property, plant and equipment' total</v>
      </c>
      <c r="AA64" s="265"/>
      <c r="AB64" s="265"/>
      <c r="AC64" s="265"/>
    </row>
    <row r="65" spans="1:29" x14ac:dyDescent="0.2">
      <c r="A65" s="68" t="s">
        <v>380</v>
      </c>
      <c r="B65" s="68"/>
      <c r="C65" s="177">
        <v>95.597999999999999</v>
      </c>
      <c r="D65" s="177">
        <v>103.32899999999999</v>
      </c>
      <c r="E65" s="177">
        <v>110.13500000000001</v>
      </c>
      <c r="F65" s="177">
        <v>113.33</v>
      </c>
      <c r="G65" s="177">
        <v>114.854</v>
      </c>
      <c r="H65" s="177">
        <v>108.584</v>
      </c>
      <c r="I65" s="107">
        <v>109.334</v>
      </c>
      <c r="J65" s="107">
        <v>112.627</v>
      </c>
      <c r="K65" s="107">
        <v>114.633</v>
      </c>
      <c r="L65" s="107">
        <v>115.82899999999999</v>
      </c>
      <c r="M65" s="107">
        <v>117.417</v>
      </c>
      <c r="O65" s="314" t="str">
        <f>$O$3</f>
        <v>√</v>
      </c>
      <c r="AA65" s="265"/>
      <c r="AB65" s="265"/>
      <c r="AC65" s="265"/>
    </row>
    <row r="66" spans="1:29" x14ac:dyDescent="0.2">
      <c r="A66" s="68" t="s">
        <v>294</v>
      </c>
      <c r="B66" s="68"/>
      <c r="C66" s="177">
        <v>7.0010000000000003</v>
      </c>
      <c r="D66" s="177">
        <v>8.0649999999999995</v>
      </c>
      <c r="E66" s="177">
        <v>8.7769999999999992</v>
      </c>
      <c r="F66" s="177">
        <v>9.0489999999999995</v>
      </c>
      <c r="G66" s="177">
        <v>9.3010000000000002</v>
      </c>
      <c r="H66" s="177">
        <v>9.4830000000000005</v>
      </c>
      <c r="I66" s="107">
        <v>9.5090000000000003</v>
      </c>
      <c r="J66" s="107">
        <v>9.6419999999999995</v>
      </c>
      <c r="K66" s="107">
        <v>9.7829999999999995</v>
      </c>
      <c r="L66" s="107">
        <v>9.9049999999999994</v>
      </c>
      <c r="M66" s="107">
        <v>10.018000000000001</v>
      </c>
      <c r="O66" s="259" t="str">
        <f>$O$63</f>
        <v>Used in TC 'Non-financial assets excluding property, plant and equipment' total</v>
      </c>
      <c r="AA66" s="265"/>
      <c r="AB66" s="265"/>
      <c r="AC66" s="265"/>
    </row>
    <row r="67" spans="1:29" x14ac:dyDescent="0.2">
      <c r="A67" s="68" t="s">
        <v>296</v>
      </c>
      <c r="B67" s="68"/>
      <c r="C67" s="177">
        <v>1.677</v>
      </c>
      <c r="D67" s="177">
        <v>1.7509999999999999</v>
      </c>
      <c r="E67" s="177">
        <v>2.1680000000000001</v>
      </c>
      <c r="F67" s="177">
        <v>2.1840000000000002</v>
      </c>
      <c r="G67" s="177">
        <v>2.3940000000000001</v>
      </c>
      <c r="H67" s="177">
        <v>2.7050000000000001</v>
      </c>
      <c r="I67" s="107">
        <v>2.6869999999999998</v>
      </c>
      <c r="J67" s="107">
        <v>2.8370000000000002</v>
      </c>
      <c r="K67" s="107">
        <v>2.86</v>
      </c>
      <c r="L67" s="107">
        <v>2.8519999999999999</v>
      </c>
      <c r="M67" s="107">
        <v>2.8260000000000001</v>
      </c>
      <c r="O67" s="259" t="str">
        <f>$O$63</f>
        <v>Used in TC 'Non-financial assets excluding property, plant and equipment' total</v>
      </c>
      <c r="AA67" s="265"/>
      <c r="AB67" s="265"/>
      <c r="AC67" s="265"/>
    </row>
    <row r="68" spans="1:29" x14ac:dyDescent="0.2">
      <c r="A68" s="68" t="s">
        <v>381</v>
      </c>
      <c r="B68" s="68"/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77">
        <v>0</v>
      </c>
      <c r="I68" s="107">
        <v>2E-3</v>
      </c>
      <c r="J68" s="107">
        <v>0.505</v>
      </c>
      <c r="K68" s="107">
        <v>1.212</v>
      </c>
      <c r="L68" s="107">
        <v>2.069</v>
      </c>
      <c r="M68" s="107">
        <v>3.069</v>
      </c>
      <c r="O68" s="358" t="s">
        <v>939</v>
      </c>
      <c r="AA68" s="265"/>
      <c r="AB68" s="265"/>
      <c r="AC68" s="265"/>
    </row>
    <row r="69" spans="1:29" x14ac:dyDescent="0.2">
      <c r="A69" s="68" t="s">
        <v>295</v>
      </c>
      <c r="B69" s="68"/>
      <c r="C69" s="177">
        <v>0</v>
      </c>
      <c r="D69" s="177">
        <v>0</v>
      </c>
      <c r="E69" s="177">
        <v>0</v>
      </c>
      <c r="F69" s="177">
        <v>0</v>
      </c>
      <c r="G69" s="177">
        <v>0</v>
      </c>
      <c r="H69" s="177">
        <v>0</v>
      </c>
      <c r="I69" s="107">
        <v>-0.28000000000000003</v>
      </c>
      <c r="J69" s="107">
        <v>-0.33</v>
      </c>
      <c r="K69" s="107">
        <v>-0.33</v>
      </c>
      <c r="L69" s="107">
        <v>-0.33</v>
      </c>
      <c r="M69" s="107">
        <v>-0.33</v>
      </c>
      <c r="O69" s="259" t="str">
        <f>$O$63</f>
        <v>Used in TC 'Non-financial assets excluding property, plant and equipment' total</v>
      </c>
      <c r="AA69" s="265"/>
      <c r="AB69" s="265"/>
      <c r="AC69" s="265"/>
    </row>
    <row r="70" spans="1:29" x14ac:dyDescent="0.2">
      <c r="A70" s="50" t="s">
        <v>382</v>
      </c>
      <c r="B70" s="50"/>
      <c r="C70" s="180">
        <f t="shared" ref="C70:M70" si="5">SUM(C$58:C$69)</f>
        <v>180.34899999999999</v>
      </c>
      <c r="D70" s="180">
        <f t="shared" si="5"/>
        <v>200.83499999999998</v>
      </c>
      <c r="E70" s="180">
        <f t="shared" si="5"/>
        <v>217.15099999999998</v>
      </c>
      <c r="F70" s="180">
        <f t="shared" si="5"/>
        <v>223.35500000000002</v>
      </c>
      <c r="G70" s="180">
        <f t="shared" si="5"/>
        <v>245.21499999999997</v>
      </c>
      <c r="H70" s="180">
        <f t="shared" si="5"/>
        <v>240.31800000000001</v>
      </c>
      <c r="I70" s="113">
        <f t="shared" si="5"/>
        <v>240.68500000000003</v>
      </c>
      <c r="J70" s="113">
        <f t="shared" si="5"/>
        <v>250.17799999999997</v>
      </c>
      <c r="K70" s="113">
        <f t="shared" si="5"/>
        <v>248.90499999999997</v>
      </c>
      <c r="L70" s="113">
        <f t="shared" si="5"/>
        <v>258.94400000000002</v>
      </c>
      <c r="M70" s="113">
        <f t="shared" si="5"/>
        <v>273.05200000000002</v>
      </c>
      <c r="AA70" s="265"/>
      <c r="AB70" s="265"/>
      <c r="AC70" s="265"/>
    </row>
    <row r="71" spans="1:29" x14ac:dyDescent="0.2">
      <c r="A71" s="68" t="s">
        <v>284</v>
      </c>
      <c r="B71" s="68"/>
      <c r="C71" s="177">
        <v>3.444</v>
      </c>
      <c r="D71" s="177">
        <v>3.53</v>
      </c>
      <c r="E71" s="177">
        <v>4.0049999999999999</v>
      </c>
      <c r="F71" s="177">
        <v>4.0199999999999996</v>
      </c>
      <c r="G71" s="177">
        <v>4.2539999999999996</v>
      </c>
      <c r="H71" s="177">
        <v>4.4569999999999999</v>
      </c>
      <c r="I71" s="107">
        <v>4.7560000000000002</v>
      </c>
      <c r="J71" s="107">
        <v>4.8970000000000002</v>
      </c>
      <c r="K71" s="107">
        <v>5.0419999999999998</v>
      </c>
      <c r="L71" s="107">
        <v>5.1920000000000002</v>
      </c>
      <c r="M71" s="107">
        <v>5.3460000000000001</v>
      </c>
      <c r="O71" s="358" t="s">
        <v>692</v>
      </c>
      <c r="AA71" s="265"/>
      <c r="AB71" s="265"/>
      <c r="AC71" s="265"/>
    </row>
    <row r="72" spans="1:29" x14ac:dyDescent="0.2">
      <c r="A72" s="68" t="s">
        <v>285</v>
      </c>
      <c r="B72" s="68"/>
      <c r="C72" s="177">
        <v>8.0749999999999993</v>
      </c>
      <c r="D72" s="177">
        <v>10.895</v>
      </c>
      <c r="E72" s="177">
        <v>9.1389999999999993</v>
      </c>
      <c r="F72" s="177">
        <v>9.9309999999999992</v>
      </c>
      <c r="G72" s="177">
        <v>11.099</v>
      </c>
      <c r="H72" s="177">
        <v>11.603999999999999</v>
      </c>
      <c r="I72" s="107">
        <v>11.821999999999999</v>
      </c>
      <c r="J72" s="107">
        <v>12.36</v>
      </c>
      <c r="K72" s="107">
        <v>12.333</v>
      </c>
      <c r="L72" s="107">
        <v>12.529</v>
      </c>
      <c r="M72" s="107">
        <v>12.694000000000001</v>
      </c>
      <c r="O72" s="259" t="str">
        <f>$O$71</f>
        <v>Used in TC 'Other Non-Core Crown non-debt liabilities' total</v>
      </c>
      <c r="AA72" s="265"/>
      <c r="AB72" s="265"/>
      <c r="AC72" s="265"/>
    </row>
    <row r="73" spans="1:29" x14ac:dyDescent="0.2">
      <c r="A73" s="68" t="s">
        <v>288</v>
      </c>
      <c r="B73" s="68"/>
      <c r="C73" s="177">
        <v>0.96599999999999997</v>
      </c>
      <c r="D73" s="177">
        <v>1.292</v>
      </c>
      <c r="E73" s="177">
        <v>1.4259999999999999</v>
      </c>
      <c r="F73" s="177">
        <v>1.6279999999999999</v>
      </c>
      <c r="G73" s="177">
        <v>1.6739999999999999</v>
      </c>
      <c r="H73" s="177">
        <v>1.712</v>
      </c>
      <c r="I73" s="107">
        <v>1.579</v>
      </c>
      <c r="J73" s="107">
        <v>1.5529999999999999</v>
      </c>
      <c r="K73" s="107">
        <v>1.5669999999999999</v>
      </c>
      <c r="L73" s="107">
        <v>1.581</v>
      </c>
      <c r="M73" s="107">
        <v>1.587</v>
      </c>
      <c r="O73" s="259" t="str">
        <f>$O$71</f>
        <v>Used in TC 'Other Non-Core Crown non-debt liabilities' total</v>
      </c>
      <c r="AA73" s="265"/>
      <c r="AB73" s="265"/>
      <c r="AC73" s="265"/>
    </row>
    <row r="74" spans="1:29" x14ac:dyDescent="0.2">
      <c r="A74" s="68" t="s">
        <v>531</v>
      </c>
      <c r="B74" s="68"/>
      <c r="C74" s="177">
        <v>41.898000000000003</v>
      </c>
      <c r="D74" s="177">
        <v>46.11</v>
      </c>
      <c r="E74" s="177">
        <v>61.953000000000003</v>
      </c>
      <c r="F74" s="177">
        <v>69.733000000000004</v>
      </c>
      <c r="G74" s="177">
        <v>90.245000000000005</v>
      </c>
      <c r="H74" s="177">
        <v>100.53400000000001</v>
      </c>
      <c r="I74" s="107">
        <v>100.78</v>
      </c>
      <c r="J74" s="107">
        <v>112.20099999999999</v>
      </c>
      <c r="K74" s="107">
        <v>109.67700000000001</v>
      </c>
      <c r="L74" s="107">
        <v>115.22799999999999</v>
      </c>
      <c r="M74" s="107">
        <v>123.122</v>
      </c>
      <c r="O74" s="358" t="s">
        <v>693</v>
      </c>
      <c r="AA74" s="265"/>
      <c r="AB74" s="265"/>
      <c r="AC74" s="265"/>
    </row>
    <row r="75" spans="1:29" x14ac:dyDescent="0.2">
      <c r="A75" s="68" t="s">
        <v>286</v>
      </c>
      <c r="B75" s="68"/>
      <c r="C75" s="177">
        <v>17.417999999999999</v>
      </c>
      <c r="D75" s="177">
        <v>20.484000000000002</v>
      </c>
      <c r="E75" s="177">
        <v>26.567</v>
      </c>
      <c r="F75" s="177">
        <v>27.131</v>
      </c>
      <c r="G75" s="177">
        <v>39.314</v>
      </c>
      <c r="H75" s="177">
        <v>41.186</v>
      </c>
      <c r="I75" s="107">
        <v>38.917000000000002</v>
      </c>
      <c r="J75" s="107">
        <v>35.902000000000001</v>
      </c>
      <c r="K75" s="107">
        <v>33.655000000000001</v>
      </c>
      <c r="L75" s="107">
        <v>33.533000000000001</v>
      </c>
      <c r="M75" s="107">
        <v>34.401000000000003</v>
      </c>
      <c r="O75" s="259" t="str">
        <f>$O$71</f>
        <v>Used in TC 'Other Non-Core Crown non-debt liabilities' total</v>
      </c>
      <c r="AA75" s="265"/>
      <c r="AB75" s="265"/>
      <c r="AC75" s="265"/>
    </row>
    <row r="76" spans="1:29" x14ac:dyDescent="0.2">
      <c r="A76" s="68" t="s">
        <v>532</v>
      </c>
      <c r="B76" s="68"/>
      <c r="C76" s="177">
        <v>7.1609999999999996</v>
      </c>
      <c r="D76" s="177">
        <v>8.2569999999999997</v>
      </c>
      <c r="E76" s="177">
        <v>8.9930000000000003</v>
      </c>
      <c r="F76" s="177">
        <v>9.94</v>
      </c>
      <c r="G76" s="177">
        <v>10.156000000000001</v>
      </c>
      <c r="H76" s="177">
        <v>13.539</v>
      </c>
      <c r="I76" s="107">
        <v>12.227</v>
      </c>
      <c r="J76" s="107">
        <v>11.766</v>
      </c>
      <c r="K76" s="107">
        <v>11.321999999999999</v>
      </c>
      <c r="L76" s="107">
        <v>10.904999999999999</v>
      </c>
      <c r="M76" s="107">
        <v>10.507</v>
      </c>
      <c r="O76" s="358" t="s">
        <v>711</v>
      </c>
      <c r="AA76" s="265"/>
      <c r="AB76" s="265"/>
      <c r="AC76" s="265"/>
    </row>
    <row r="77" spans="1:29" x14ac:dyDescent="0.2">
      <c r="A77" s="68" t="s">
        <v>287</v>
      </c>
      <c r="B77" s="68"/>
      <c r="C77" s="185">
        <v>4.5599999999999996</v>
      </c>
      <c r="D77" s="177">
        <v>4.7530000000000001</v>
      </c>
      <c r="E77" s="177">
        <v>5.5529999999999999</v>
      </c>
      <c r="F77" s="177">
        <v>5.984</v>
      </c>
      <c r="G77" s="177">
        <v>7.5860000000000003</v>
      </c>
      <c r="H77" s="177">
        <v>7.5060000000000002</v>
      </c>
      <c r="I77" s="107">
        <v>7.3339999999999996</v>
      </c>
      <c r="J77" s="107">
        <v>6.3170000000000002</v>
      </c>
      <c r="K77" s="107">
        <v>5.88</v>
      </c>
      <c r="L77" s="107">
        <v>5.4729999999999999</v>
      </c>
      <c r="M77" s="107">
        <v>5.3890000000000002</v>
      </c>
      <c r="O77" s="259" t="str">
        <f>$O$71</f>
        <v>Used in TC 'Other Non-Core Crown non-debt liabilities' total</v>
      </c>
      <c r="AA77" s="265"/>
      <c r="AB77" s="265"/>
      <c r="AC77" s="265"/>
    </row>
    <row r="78" spans="1:29" x14ac:dyDescent="0.2">
      <c r="A78" s="50" t="s">
        <v>383</v>
      </c>
      <c r="B78" s="50"/>
      <c r="C78" s="180">
        <f t="shared" ref="C78:M78" si="6">SUM(C$71:C$77)</f>
        <v>83.522000000000006</v>
      </c>
      <c r="D78" s="180">
        <f t="shared" si="6"/>
        <v>95.321000000000012</v>
      </c>
      <c r="E78" s="180">
        <f t="shared" si="6"/>
        <v>117.636</v>
      </c>
      <c r="F78" s="180">
        <f t="shared" si="6"/>
        <v>128.36699999999999</v>
      </c>
      <c r="G78" s="180">
        <f t="shared" si="6"/>
        <v>164.32800000000003</v>
      </c>
      <c r="H78" s="180">
        <f t="shared" si="6"/>
        <v>180.53799999999998</v>
      </c>
      <c r="I78" s="113">
        <f t="shared" si="6"/>
        <v>177.41499999999999</v>
      </c>
      <c r="J78" s="113">
        <f t="shared" si="6"/>
        <v>184.99600000000001</v>
      </c>
      <c r="K78" s="113">
        <f t="shared" si="6"/>
        <v>179.476</v>
      </c>
      <c r="L78" s="113">
        <f t="shared" si="6"/>
        <v>184.441</v>
      </c>
      <c r="M78" s="113">
        <f t="shared" si="6"/>
        <v>193.04600000000002</v>
      </c>
      <c r="AA78" s="265"/>
      <c r="AB78" s="265"/>
      <c r="AC78" s="265"/>
    </row>
    <row r="79" spans="1:29" x14ac:dyDescent="0.2">
      <c r="A79" s="50" t="s">
        <v>297</v>
      </c>
      <c r="B79" s="50"/>
      <c r="C79" s="186">
        <v>96.826999999999984</v>
      </c>
      <c r="D79" s="186">
        <v>105.514</v>
      </c>
      <c r="E79" s="186">
        <v>99.515000000000001</v>
      </c>
      <c r="F79" s="186">
        <v>94.988</v>
      </c>
      <c r="G79" s="186">
        <v>80.887</v>
      </c>
      <c r="H79" s="186">
        <v>59.78</v>
      </c>
      <c r="I79" s="208">
        <v>63.27</v>
      </c>
      <c r="J79" s="208">
        <v>65.182000000000002</v>
      </c>
      <c r="K79" s="208">
        <v>69.429000000000002</v>
      </c>
      <c r="L79" s="208">
        <v>74.503</v>
      </c>
      <c r="M79" s="208">
        <v>80.006</v>
      </c>
      <c r="O79" s="358" t="s">
        <v>694</v>
      </c>
      <c r="AA79" s="265"/>
      <c r="AB79" s="265"/>
      <c r="AC79" s="265"/>
    </row>
    <row r="80" spans="1:29" ht="13.5" x14ac:dyDescent="0.25">
      <c r="A80" s="223" t="s">
        <v>573</v>
      </c>
      <c r="B80" s="166"/>
      <c r="C80" s="221" t="str">
        <f>IF(ROUND(C$79-(SUM(C$58:C$69)-SUM(C$71:C$77)),3)=0,"OK","ERROR")</f>
        <v>OK</v>
      </c>
      <c r="D80" s="221" t="str">
        <f t="shared" ref="D80:M80" si="7">IF(ROUND(D$79-(SUM(D$58:D$69)-SUM(D$71:D$77)),3)=0,"OK","ERROR")</f>
        <v>OK</v>
      </c>
      <c r="E80" s="221" t="str">
        <f t="shared" si="7"/>
        <v>OK</v>
      </c>
      <c r="F80" s="221" t="str">
        <f t="shared" si="7"/>
        <v>OK</v>
      </c>
      <c r="G80" s="221" t="str">
        <f t="shared" si="7"/>
        <v>OK</v>
      </c>
      <c r="H80" s="221" t="str">
        <f t="shared" si="7"/>
        <v>OK</v>
      </c>
      <c r="I80" s="222" t="str">
        <f t="shared" si="7"/>
        <v>OK</v>
      </c>
      <c r="J80" s="222" t="str">
        <f t="shared" si="7"/>
        <v>OK</v>
      </c>
      <c r="K80" s="222" t="str">
        <f t="shared" si="7"/>
        <v>OK</v>
      </c>
      <c r="L80" s="222" t="str">
        <f t="shared" si="7"/>
        <v>OK</v>
      </c>
      <c r="M80" s="222" t="str">
        <f t="shared" si="7"/>
        <v>OK</v>
      </c>
    </row>
    <row r="81" spans="1:29" ht="15.75" x14ac:dyDescent="0.25">
      <c r="A81" s="51" t="s">
        <v>574</v>
      </c>
      <c r="B81" s="166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</row>
    <row r="82" spans="1:29" x14ac:dyDescent="0.2">
      <c r="A82" s="50" t="s">
        <v>533</v>
      </c>
      <c r="B82" s="166"/>
      <c r="C82" s="177">
        <v>31.163</v>
      </c>
      <c r="D82" s="177">
        <v>33.192</v>
      </c>
      <c r="E82" s="177">
        <v>44.448</v>
      </c>
      <c r="F82" s="177">
        <v>50.017000000000003</v>
      </c>
      <c r="G82" s="177">
        <v>67.765000000000001</v>
      </c>
      <c r="H82" s="177">
        <v>75.700999999999993</v>
      </c>
      <c r="I82" s="107">
        <v>74.924000000000007</v>
      </c>
      <c r="J82" s="107">
        <v>84.58</v>
      </c>
      <c r="K82" s="107">
        <v>80.111999999999995</v>
      </c>
      <c r="L82" s="107">
        <v>83.614000000000004</v>
      </c>
      <c r="M82" s="107">
        <v>88.828999999999994</v>
      </c>
      <c r="O82" s="314" t="str">
        <f>$O$3</f>
        <v>√</v>
      </c>
      <c r="AA82" s="265"/>
      <c r="AB82" s="265"/>
      <c r="AC82" s="265"/>
    </row>
    <row r="83" spans="1:29" x14ac:dyDescent="0.2">
      <c r="A83" s="50" t="s">
        <v>664</v>
      </c>
      <c r="B83" s="166"/>
      <c r="C83" s="177">
        <v>10.734999999999999</v>
      </c>
      <c r="D83" s="177">
        <v>12.917999999999999</v>
      </c>
      <c r="E83" s="177">
        <v>17.504999999999999</v>
      </c>
      <c r="F83" s="177">
        <v>19.716000000000001</v>
      </c>
      <c r="G83" s="177">
        <v>22.48</v>
      </c>
      <c r="H83" s="177">
        <v>24.832999999999998</v>
      </c>
      <c r="I83" s="107">
        <v>25.856000000000002</v>
      </c>
      <c r="J83" s="107">
        <v>27.620999999999999</v>
      </c>
      <c r="K83" s="107">
        <v>29.565000000000001</v>
      </c>
      <c r="L83" s="107">
        <v>31.614000000000001</v>
      </c>
      <c r="M83" s="107">
        <v>34.292999999999999</v>
      </c>
      <c r="O83" s="314" t="str">
        <f>$O$3</f>
        <v>√</v>
      </c>
      <c r="AA83" s="265"/>
      <c r="AB83" s="265"/>
      <c r="AC83" s="265"/>
    </row>
    <row r="84" spans="1:29" ht="13.5" x14ac:dyDescent="0.25">
      <c r="A84" s="223" t="s">
        <v>665</v>
      </c>
      <c r="B84" s="166"/>
      <c r="C84" s="221" t="str">
        <f t="shared" ref="C84:M84" si="8">IF(ROUND(C$74-SUM(C$82:C$83),3)=0,"OK","ERROR")</f>
        <v>OK</v>
      </c>
      <c r="D84" s="221" t="str">
        <f t="shared" si="8"/>
        <v>OK</v>
      </c>
      <c r="E84" s="221" t="str">
        <f t="shared" si="8"/>
        <v>OK</v>
      </c>
      <c r="F84" s="221" t="str">
        <f t="shared" si="8"/>
        <v>OK</v>
      </c>
      <c r="G84" s="221" t="str">
        <f t="shared" si="8"/>
        <v>OK</v>
      </c>
      <c r="H84" s="221" t="str">
        <f t="shared" si="8"/>
        <v>OK</v>
      </c>
      <c r="I84" s="222" t="str">
        <f t="shared" si="8"/>
        <v>OK</v>
      </c>
      <c r="J84" s="222" t="str">
        <f t="shared" si="8"/>
        <v>OK</v>
      </c>
      <c r="K84" s="222" t="str">
        <f t="shared" si="8"/>
        <v>OK</v>
      </c>
      <c r="L84" s="222" t="str">
        <f t="shared" si="8"/>
        <v>OK</v>
      </c>
      <c r="M84" s="222" t="str">
        <f t="shared" si="8"/>
        <v>OK</v>
      </c>
    </row>
    <row r="85" spans="1:29" x14ac:dyDescent="0.2">
      <c r="A85" s="68" t="s">
        <v>534</v>
      </c>
      <c r="B85" s="166"/>
      <c r="C85" s="177">
        <v>35.892000000000003</v>
      </c>
      <c r="D85" s="177">
        <v>37.335999999999999</v>
      </c>
      <c r="E85" s="177">
        <v>50.545000000000002</v>
      </c>
      <c r="F85" s="177">
        <v>58.582999999999998</v>
      </c>
      <c r="G85" s="177">
        <v>76.885000000000005</v>
      </c>
      <c r="H85" s="177">
        <v>84.68</v>
      </c>
      <c r="I85" s="107">
        <v>85.31</v>
      </c>
      <c r="J85" s="107">
        <v>94.504000000000005</v>
      </c>
      <c r="K85" s="107">
        <v>90.088999999999999</v>
      </c>
      <c r="L85" s="107">
        <v>94.584000000000003</v>
      </c>
      <c r="M85" s="107">
        <v>101.077</v>
      </c>
      <c r="O85" s="314" t="str">
        <f>$O$3</f>
        <v>√</v>
      </c>
      <c r="AA85" s="265"/>
      <c r="AB85" s="265"/>
      <c r="AC85" s="265"/>
    </row>
    <row r="86" spans="1:29" x14ac:dyDescent="0.2">
      <c r="A86" s="68" t="s">
        <v>575</v>
      </c>
      <c r="B86" s="166"/>
      <c r="C86" s="177">
        <v>0.91300000000000003</v>
      </c>
      <c r="D86" s="177">
        <v>0.40899999999999997</v>
      </c>
      <c r="E86" s="177">
        <v>0.42799999999999999</v>
      </c>
      <c r="F86" s="177">
        <v>0.308</v>
      </c>
      <c r="G86" s="177">
        <v>0.40500000000000003</v>
      </c>
      <c r="H86" s="177">
        <v>-0.51200000000000001</v>
      </c>
      <c r="I86" s="107">
        <v>-0.88300000000000001</v>
      </c>
      <c r="J86" s="107">
        <v>-1.0269999999999999</v>
      </c>
      <c r="K86" s="107">
        <v>-1.141</v>
      </c>
      <c r="L86" s="107">
        <v>-1.288</v>
      </c>
      <c r="M86" s="107">
        <v>-1.341</v>
      </c>
      <c r="O86" s="314" t="str">
        <f>$O$3</f>
        <v>√</v>
      </c>
      <c r="AA86" s="265"/>
      <c r="AB86" s="265"/>
      <c r="AC86" s="265"/>
    </row>
    <row r="87" spans="1:29" x14ac:dyDescent="0.2">
      <c r="A87" s="50" t="s">
        <v>400</v>
      </c>
      <c r="C87" s="180">
        <f>SUM(C$85:C$86)</f>
        <v>36.805</v>
      </c>
      <c r="D87" s="180">
        <f t="shared" ref="D87:M87" si="9">SUM(D$85:D$86)</f>
        <v>37.744999999999997</v>
      </c>
      <c r="E87" s="180">
        <f t="shared" si="9"/>
        <v>50.972999999999999</v>
      </c>
      <c r="F87" s="180">
        <f t="shared" si="9"/>
        <v>58.890999999999998</v>
      </c>
      <c r="G87" s="180">
        <f t="shared" si="9"/>
        <v>77.290000000000006</v>
      </c>
      <c r="H87" s="180">
        <f t="shared" si="9"/>
        <v>84.168000000000006</v>
      </c>
      <c r="I87" s="113">
        <f t="shared" si="9"/>
        <v>84.427000000000007</v>
      </c>
      <c r="J87" s="113">
        <f t="shared" si="9"/>
        <v>93.477000000000004</v>
      </c>
      <c r="K87" s="113">
        <f t="shared" si="9"/>
        <v>88.947999999999993</v>
      </c>
      <c r="L87" s="113">
        <f t="shared" si="9"/>
        <v>93.296000000000006</v>
      </c>
      <c r="M87" s="113">
        <f t="shared" si="9"/>
        <v>99.736000000000004</v>
      </c>
      <c r="AA87" s="265"/>
      <c r="AB87" s="265"/>
      <c r="AC87" s="265"/>
    </row>
    <row r="88" spans="1:29" x14ac:dyDescent="0.2">
      <c r="A88" s="68" t="s">
        <v>787</v>
      </c>
      <c r="B88" s="166"/>
      <c r="C88" s="177">
        <v>44.271999999999998</v>
      </c>
      <c r="D88" s="177">
        <v>50.698</v>
      </c>
      <c r="E88" s="177">
        <v>55.768999999999998</v>
      </c>
      <c r="F88" s="177">
        <v>57.209000000000003</v>
      </c>
      <c r="G88" s="177">
        <v>65.400000000000006</v>
      </c>
      <c r="H88" s="177">
        <v>64.016999999999996</v>
      </c>
      <c r="I88" s="107">
        <v>61.256999999999998</v>
      </c>
      <c r="J88" s="107">
        <v>65.786000000000001</v>
      </c>
      <c r="K88" s="107">
        <v>60.091999999999999</v>
      </c>
      <c r="L88" s="107">
        <v>65.888000000000005</v>
      </c>
      <c r="M88" s="107">
        <v>74.100999999999999</v>
      </c>
      <c r="O88" s="358" t="s">
        <v>695</v>
      </c>
      <c r="AA88" s="265"/>
      <c r="AB88" s="265"/>
      <c r="AC88" s="265"/>
    </row>
    <row r="89" spans="1:29" x14ac:dyDescent="0.2">
      <c r="A89" s="287" t="s">
        <v>786</v>
      </c>
      <c r="B89" s="166"/>
      <c r="C89" s="180">
        <f>SUM(C$85:C$86,-C$88)</f>
        <v>-7.4669999999999987</v>
      </c>
      <c r="D89" s="180">
        <f t="shared" ref="D89:M89" si="10">SUM(D$85:D$86,-D$88)</f>
        <v>-12.953000000000003</v>
      </c>
      <c r="E89" s="180">
        <f t="shared" si="10"/>
        <v>-4.7959999999999994</v>
      </c>
      <c r="F89" s="180">
        <f t="shared" si="10"/>
        <v>1.6819999999999951</v>
      </c>
      <c r="G89" s="180">
        <f t="shared" si="10"/>
        <v>11.89</v>
      </c>
      <c r="H89" s="180">
        <f t="shared" si="10"/>
        <v>20.15100000000001</v>
      </c>
      <c r="I89" s="113">
        <f t="shared" si="10"/>
        <v>23.170000000000009</v>
      </c>
      <c r="J89" s="113">
        <f t="shared" si="10"/>
        <v>27.691000000000003</v>
      </c>
      <c r="K89" s="113">
        <f t="shared" si="10"/>
        <v>28.855999999999995</v>
      </c>
      <c r="L89" s="113">
        <f t="shared" si="10"/>
        <v>27.408000000000001</v>
      </c>
      <c r="M89" s="113">
        <f t="shared" si="10"/>
        <v>25.635000000000005</v>
      </c>
      <c r="AA89" s="265"/>
      <c r="AB89" s="265"/>
      <c r="AC89" s="265"/>
    </row>
    <row r="90" spans="1:29" x14ac:dyDescent="0.2">
      <c r="A90" s="68" t="s">
        <v>595</v>
      </c>
      <c r="B90" s="166"/>
      <c r="C90" s="177">
        <v>11.576000000000001</v>
      </c>
      <c r="D90" s="177">
        <v>12.933999999999999</v>
      </c>
      <c r="E90" s="177">
        <v>11.486000000000001</v>
      </c>
      <c r="F90" s="177">
        <v>14.189</v>
      </c>
      <c r="G90" s="177">
        <v>16.158999999999999</v>
      </c>
      <c r="H90" s="177">
        <v>17.196000000000002</v>
      </c>
      <c r="I90" s="107">
        <v>21.33</v>
      </c>
      <c r="J90" s="107">
        <v>22.699000000000002</v>
      </c>
      <c r="K90" s="107">
        <v>24.295000000000002</v>
      </c>
      <c r="L90" s="107">
        <v>26.204000000000001</v>
      </c>
      <c r="M90" s="107">
        <v>28.15</v>
      </c>
      <c r="O90" s="314" t="str">
        <f>$O$3</f>
        <v>√</v>
      </c>
      <c r="AA90" s="265"/>
      <c r="AB90" s="265"/>
      <c r="AC90" s="265"/>
    </row>
    <row r="91" spans="1:29" x14ac:dyDescent="0.2">
      <c r="A91" s="50" t="s">
        <v>535</v>
      </c>
      <c r="B91" s="166"/>
      <c r="C91" s="180">
        <f>SUM(C$89,C$90)</f>
        <v>4.1090000000000018</v>
      </c>
      <c r="D91" s="180">
        <f>SUM(D$89,D$90)</f>
        <v>-1.9000000000003681E-2</v>
      </c>
      <c r="E91" s="180">
        <f t="shared" ref="E91:M91" si="11">SUM(E$89,E$90)</f>
        <v>6.6900000000000013</v>
      </c>
      <c r="F91" s="180">
        <f t="shared" si="11"/>
        <v>15.870999999999995</v>
      </c>
      <c r="G91" s="180">
        <f t="shared" si="11"/>
        <v>28.048999999999999</v>
      </c>
      <c r="H91" s="180">
        <f t="shared" si="11"/>
        <v>37.347000000000008</v>
      </c>
      <c r="I91" s="113">
        <f t="shared" si="11"/>
        <v>44.500000000000007</v>
      </c>
      <c r="J91" s="113">
        <f t="shared" si="11"/>
        <v>50.39</v>
      </c>
      <c r="K91" s="113">
        <f t="shared" si="11"/>
        <v>53.150999999999996</v>
      </c>
      <c r="L91" s="113">
        <f t="shared" si="11"/>
        <v>53.612000000000002</v>
      </c>
      <c r="M91" s="113">
        <f t="shared" si="11"/>
        <v>53.785000000000004</v>
      </c>
      <c r="O91" s="360" t="s">
        <v>789</v>
      </c>
      <c r="AB91" s="265"/>
      <c r="AC91" s="265"/>
    </row>
    <row r="92" spans="1:29" x14ac:dyDescent="0.2">
      <c r="A92" s="68" t="s">
        <v>810</v>
      </c>
      <c r="B92" s="166"/>
      <c r="C92" s="177">
        <v>9.0869999999999997</v>
      </c>
      <c r="D92" s="177">
        <v>10.276999999999999</v>
      </c>
      <c r="E92" s="177">
        <v>10.429</v>
      </c>
      <c r="F92" s="177">
        <v>10.867000000000001</v>
      </c>
      <c r="G92" s="177">
        <v>12.079000000000001</v>
      </c>
      <c r="H92" s="177">
        <v>13.324</v>
      </c>
      <c r="I92" s="107">
        <v>13.445</v>
      </c>
      <c r="J92" s="107">
        <v>14.375</v>
      </c>
      <c r="K92" s="107">
        <v>15.082000000000001</v>
      </c>
      <c r="L92" s="107">
        <v>16.068000000000001</v>
      </c>
      <c r="M92" s="107">
        <v>16.489999999999998</v>
      </c>
      <c r="O92" s="259" t="str">
        <f>$O$112</f>
        <v>Used in calculation of 'Core Crown marketable securities, derivatives in gain and share investments'</v>
      </c>
      <c r="AB92" s="265"/>
      <c r="AC92" s="265"/>
    </row>
    <row r="93" spans="1:29" x14ac:dyDescent="0.2">
      <c r="A93" s="50" t="s">
        <v>785</v>
      </c>
      <c r="B93" s="166"/>
      <c r="C93" s="186">
        <v>13.196</v>
      </c>
      <c r="D93" s="285">
        <v>10.257999999999999</v>
      </c>
      <c r="E93" s="285">
        <v>17.119</v>
      </c>
      <c r="F93" s="285">
        <v>26.738</v>
      </c>
      <c r="G93" s="285">
        <v>40.128</v>
      </c>
      <c r="H93" s="285">
        <v>50.670999999999999</v>
      </c>
      <c r="I93" s="286">
        <v>57.945</v>
      </c>
      <c r="J93" s="286">
        <v>64.765000000000001</v>
      </c>
      <c r="K93" s="286">
        <v>68.233000000000004</v>
      </c>
      <c r="L93" s="286">
        <v>69.680000000000007</v>
      </c>
      <c r="M93" s="286">
        <v>70.275000000000006</v>
      </c>
      <c r="O93" s="358" t="s">
        <v>696</v>
      </c>
      <c r="AB93" s="265"/>
      <c r="AC93" s="265"/>
    </row>
    <row r="94" spans="1:29" ht="13.5" x14ac:dyDescent="0.25">
      <c r="A94" s="223" t="s">
        <v>594</v>
      </c>
      <c r="B94" s="166"/>
      <c r="C94" s="221" t="str">
        <f>IF(ROUND(C$93-(SUM(C$85:C$86,C$90,C$92)-C$88),3)=0,"OK","ERROR")</f>
        <v>OK</v>
      </c>
      <c r="D94" s="221" t="str">
        <f t="shared" ref="D94:M94" si="12">IF(ROUND(D$93-(SUM(D$85:D$86,D$90,D$92)-D$88),3)=0,"OK","ERROR")</f>
        <v>OK</v>
      </c>
      <c r="E94" s="221" t="str">
        <f t="shared" si="12"/>
        <v>OK</v>
      </c>
      <c r="F94" s="221" t="str">
        <f t="shared" si="12"/>
        <v>OK</v>
      </c>
      <c r="G94" s="221" t="str">
        <f t="shared" si="12"/>
        <v>OK</v>
      </c>
      <c r="H94" s="221" t="str">
        <f t="shared" si="12"/>
        <v>OK</v>
      </c>
      <c r="I94" s="222" t="str">
        <f t="shared" si="12"/>
        <v>OK</v>
      </c>
      <c r="J94" s="222" t="str">
        <f t="shared" si="12"/>
        <v>OK</v>
      </c>
      <c r="K94" s="222" t="str">
        <f t="shared" si="12"/>
        <v>OK</v>
      </c>
      <c r="L94" s="222" t="str">
        <f t="shared" si="12"/>
        <v>OK</v>
      </c>
      <c r="M94" s="222" t="str">
        <f t="shared" si="12"/>
        <v>OK</v>
      </c>
      <c r="AB94" s="265"/>
      <c r="AC94" s="265"/>
    </row>
    <row r="95" spans="1:29" x14ac:dyDescent="0.2">
      <c r="A95" s="68" t="s">
        <v>754</v>
      </c>
      <c r="C95" s="177">
        <v>7.758</v>
      </c>
      <c r="D95" s="177">
        <v>7.9550000000000001</v>
      </c>
      <c r="E95" s="177">
        <v>9.2170000000000005</v>
      </c>
      <c r="F95" s="177">
        <v>6.9</v>
      </c>
      <c r="G95" s="177">
        <v>6.47</v>
      </c>
      <c r="H95" s="177">
        <v>6.133</v>
      </c>
      <c r="I95" s="107">
        <v>7.391</v>
      </c>
      <c r="J95" s="107">
        <v>7.391</v>
      </c>
      <c r="K95" s="107">
        <v>7.391</v>
      </c>
      <c r="L95" s="107">
        <v>7.391</v>
      </c>
      <c r="M95" s="107">
        <v>7.391</v>
      </c>
      <c r="O95" s="358" t="s">
        <v>697</v>
      </c>
      <c r="AB95" s="265"/>
      <c r="AC95" s="265"/>
    </row>
    <row r="96" spans="1:29" x14ac:dyDescent="0.2">
      <c r="A96" s="68" t="s">
        <v>536</v>
      </c>
      <c r="C96" s="177">
        <v>1.6</v>
      </c>
      <c r="D96" s="177">
        <v>1.6</v>
      </c>
      <c r="E96" s="177">
        <v>1.6</v>
      </c>
      <c r="F96" s="177">
        <v>1.6</v>
      </c>
      <c r="G96" s="177">
        <v>1.6</v>
      </c>
      <c r="H96" s="177">
        <v>1.6</v>
      </c>
      <c r="I96" s="107">
        <v>1.6</v>
      </c>
      <c r="J96" s="107">
        <v>1.6</v>
      </c>
      <c r="K96" s="107">
        <v>1.6</v>
      </c>
      <c r="L96" s="107">
        <v>1.6</v>
      </c>
      <c r="M96" s="107">
        <v>1.6</v>
      </c>
      <c r="O96" s="259" t="str">
        <f>$O$95</f>
        <v>Used in calculation of 'NOTE T.1: RB SETTLEMENT CASH EXCLUDED FROM GSID'</v>
      </c>
      <c r="AB96" s="265"/>
      <c r="AC96" s="265"/>
    </row>
    <row r="97" spans="1:29" x14ac:dyDescent="0.2">
      <c r="A97" s="50" t="s">
        <v>755</v>
      </c>
      <c r="B97" s="166"/>
      <c r="C97" s="186">
        <v>30.647000000000002</v>
      </c>
      <c r="D97" s="186">
        <v>31.39</v>
      </c>
      <c r="E97" s="186">
        <v>43.356000000000002</v>
      </c>
      <c r="F97" s="186">
        <v>53.591000000000001</v>
      </c>
      <c r="G97" s="186">
        <v>72.42</v>
      </c>
      <c r="H97" s="186">
        <v>79.635000000000005</v>
      </c>
      <c r="I97" s="208">
        <v>78.635999999999996</v>
      </c>
      <c r="J97" s="208">
        <v>87.686000000000007</v>
      </c>
      <c r="K97" s="208">
        <v>83.156999999999996</v>
      </c>
      <c r="L97" s="208">
        <v>87.504999999999995</v>
      </c>
      <c r="M97" s="208">
        <v>93.944999999999993</v>
      </c>
      <c r="O97" s="358" t="s">
        <v>698</v>
      </c>
      <c r="AB97" s="265"/>
      <c r="AC97" s="265"/>
    </row>
    <row r="98" spans="1:29" ht="13.5" x14ac:dyDescent="0.25">
      <c r="A98" s="223" t="s">
        <v>576</v>
      </c>
      <c r="B98" s="166"/>
      <c r="C98" s="221" t="str">
        <f>IF(ROUND(C$97-(SUM(C$85:C$86,C$96)-C$95),3)=0,"OK","ERROR")</f>
        <v>OK</v>
      </c>
      <c r="D98" s="221" t="str">
        <f t="shared" ref="D98:M98" si="13">IF(ROUND(D$97-(SUM(D$85:D$86,D$96)-D$95),3)=0,"OK","ERROR")</f>
        <v>OK</v>
      </c>
      <c r="E98" s="221" t="str">
        <f t="shared" si="13"/>
        <v>OK</v>
      </c>
      <c r="F98" s="221" t="str">
        <f t="shared" si="13"/>
        <v>OK</v>
      </c>
      <c r="G98" s="221" t="str">
        <f t="shared" si="13"/>
        <v>OK</v>
      </c>
      <c r="H98" s="221" t="str">
        <f t="shared" si="13"/>
        <v>OK</v>
      </c>
      <c r="I98" s="222" t="str">
        <f t="shared" si="13"/>
        <v>OK</v>
      </c>
      <c r="J98" s="222" t="str">
        <f t="shared" si="13"/>
        <v>OK</v>
      </c>
      <c r="K98" s="222" t="str">
        <f t="shared" si="13"/>
        <v>OK</v>
      </c>
      <c r="L98" s="222" t="str">
        <f t="shared" si="13"/>
        <v>OK</v>
      </c>
      <c r="M98" s="222" t="str">
        <f t="shared" si="13"/>
        <v>OK</v>
      </c>
      <c r="AB98" s="265"/>
      <c r="AC98" s="265"/>
    </row>
    <row r="99" spans="1:29" ht="15.75" x14ac:dyDescent="0.25">
      <c r="A99" s="51" t="s">
        <v>554</v>
      </c>
      <c r="B99" s="51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AB99" s="265"/>
      <c r="AC99" s="265"/>
    </row>
    <row r="100" spans="1:29" x14ac:dyDescent="0.2">
      <c r="A100" s="68" t="s">
        <v>360</v>
      </c>
      <c r="B100" s="68"/>
      <c r="C100" s="187">
        <v>53.476999999999997</v>
      </c>
      <c r="D100" s="187">
        <v>56.747</v>
      </c>
      <c r="E100" s="187">
        <v>54.680999999999997</v>
      </c>
      <c r="F100" s="187">
        <v>50.744</v>
      </c>
      <c r="G100" s="187">
        <v>51.557000000000002</v>
      </c>
      <c r="H100" s="187">
        <v>55.081000000000003</v>
      </c>
      <c r="I100" s="107">
        <v>58.286000000000001</v>
      </c>
      <c r="J100" s="107">
        <v>62.383000000000003</v>
      </c>
      <c r="K100" s="107">
        <v>66.08</v>
      </c>
      <c r="L100" s="107">
        <v>69.679000000000002</v>
      </c>
      <c r="M100" s="107">
        <v>72.819999999999993</v>
      </c>
      <c r="O100" s="314" t="str">
        <f>$O$3</f>
        <v>√</v>
      </c>
    </row>
    <row r="101" spans="1:29" x14ac:dyDescent="0.2">
      <c r="A101" s="68" t="s">
        <v>282</v>
      </c>
      <c r="B101" s="68"/>
      <c r="C101" s="187">
        <v>0.63600000000000001</v>
      </c>
      <c r="D101" s="187">
        <v>0.73299999999999998</v>
      </c>
      <c r="E101" s="187">
        <v>0.80800000000000005</v>
      </c>
      <c r="F101" s="187">
        <v>1.0149999999999999</v>
      </c>
      <c r="G101" s="187">
        <v>1.2749999999999999</v>
      </c>
      <c r="H101" s="187">
        <v>0.93500000000000005</v>
      </c>
      <c r="I101" s="107">
        <v>1.085</v>
      </c>
      <c r="J101" s="107">
        <v>1.165</v>
      </c>
      <c r="K101" s="107">
        <v>1.212</v>
      </c>
      <c r="L101" s="107">
        <v>1.054</v>
      </c>
      <c r="M101" s="107">
        <v>1.105</v>
      </c>
      <c r="O101" s="359" t="s">
        <v>597</v>
      </c>
    </row>
    <row r="102" spans="1:29" x14ac:dyDescent="0.2">
      <c r="A102" s="68" t="s">
        <v>329</v>
      </c>
      <c r="B102" s="68"/>
      <c r="C102" s="187">
        <v>1.095</v>
      </c>
      <c r="D102" s="187">
        <v>1.097</v>
      </c>
      <c r="E102" s="187">
        <v>1.2370000000000001</v>
      </c>
      <c r="F102" s="187">
        <v>1.387</v>
      </c>
      <c r="G102" s="187">
        <v>1.4430000000000001</v>
      </c>
      <c r="H102" s="187">
        <v>1.448</v>
      </c>
      <c r="I102" s="107">
        <v>1.456</v>
      </c>
      <c r="J102" s="107">
        <v>1.397</v>
      </c>
      <c r="K102" s="107">
        <v>1.357</v>
      </c>
      <c r="L102" s="107">
        <v>1.3520000000000001</v>
      </c>
      <c r="M102" s="107">
        <v>1.345</v>
      </c>
      <c r="O102" s="359" t="str">
        <f>$O$101</f>
        <v>Used in CC 'Other non-investment income' total</v>
      </c>
    </row>
    <row r="103" spans="1:29" x14ac:dyDescent="0.2">
      <c r="A103" s="68" t="s">
        <v>555</v>
      </c>
      <c r="B103" s="68"/>
      <c r="C103" s="187">
        <v>2.58</v>
      </c>
      <c r="D103" s="187">
        <v>2.3439999999999999</v>
      </c>
      <c r="E103" s="187">
        <v>1.8720000000000001</v>
      </c>
      <c r="F103" s="187">
        <v>2.1349999999999998</v>
      </c>
      <c r="G103" s="187">
        <v>2.169</v>
      </c>
      <c r="H103" s="187">
        <v>1.7949999999999999</v>
      </c>
      <c r="I103" s="107">
        <v>2.1960000000000002</v>
      </c>
      <c r="J103" s="107">
        <v>2.6389999999999998</v>
      </c>
      <c r="K103" s="107">
        <v>2.9079999999999999</v>
      </c>
      <c r="L103" s="107">
        <v>3.0449999999999999</v>
      </c>
      <c r="M103" s="107">
        <v>3.504</v>
      </c>
      <c r="O103" s="314" t="str">
        <f>$O$3</f>
        <v>√</v>
      </c>
    </row>
    <row r="104" spans="1:29" x14ac:dyDescent="0.2">
      <c r="A104" s="68" t="s">
        <v>330</v>
      </c>
      <c r="B104" s="68"/>
      <c r="C104" s="187">
        <v>0.42299999999999999</v>
      </c>
      <c r="D104" s="187">
        <v>0.89800000000000002</v>
      </c>
      <c r="E104" s="187">
        <v>0.88400000000000001</v>
      </c>
      <c r="F104" s="187">
        <v>0.93500000000000005</v>
      </c>
      <c r="G104" s="187">
        <v>1.1060000000000001</v>
      </c>
      <c r="H104" s="187">
        <v>1.306</v>
      </c>
      <c r="I104" s="107">
        <v>0.78600000000000003</v>
      </c>
      <c r="J104" s="107">
        <v>0.79800000000000004</v>
      </c>
      <c r="K104" s="107">
        <v>0.72199999999999998</v>
      </c>
      <c r="L104" s="107">
        <v>0.71499999999999997</v>
      </c>
      <c r="M104" s="107">
        <v>0.71399999999999997</v>
      </c>
      <c r="O104" s="359" t="str">
        <f>$O$101</f>
        <v>Used in CC 'Other non-investment income' total</v>
      </c>
    </row>
    <row r="105" spans="1:29" x14ac:dyDescent="0.2">
      <c r="A105" s="50" t="s">
        <v>565</v>
      </c>
      <c r="B105" s="68"/>
      <c r="C105" s="180">
        <f>SUM(C$100:C$104)</f>
        <v>58.210999999999999</v>
      </c>
      <c r="D105" s="180">
        <f t="shared" ref="D105:M105" si="14">SUM(D$100:D$104)</f>
        <v>61.819000000000003</v>
      </c>
      <c r="E105" s="180">
        <f t="shared" si="14"/>
        <v>59.481999999999999</v>
      </c>
      <c r="F105" s="180">
        <f t="shared" si="14"/>
        <v>56.216000000000001</v>
      </c>
      <c r="G105" s="180">
        <f t="shared" si="14"/>
        <v>57.55</v>
      </c>
      <c r="H105" s="180">
        <f t="shared" si="14"/>
        <v>60.565000000000005</v>
      </c>
      <c r="I105" s="113">
        <f t="shared" si="14"/>
        <v>63.809000000000005</v>
      </c>
      <c r="J105" s="113">
        <f t="shared" si="14"/>
        <v>68.382000000000005</v>
      </c>
      <c r="K105" s="113">
        <f t="shared" si="14"/>
        <v>72.278999999999996</v>
      </c>
      <c r="L105" s="113">
        <f t="shared" si="14"/>
        <v>75.845000000000013</v>
      </c>
      <c r="M105" s="113">
        <f t="shared" si="14"/>
        <v>79.488</v>
      </c>
    </row>
    <row r="106" spans="1:29" x14ac:dyDescent="0.2">
      <c r="A106" s="68" t="s">
        <v>556</v>
      </c>
      <c r="B106" s="68"/>
      <c r="C106" s="187">
        <v>2.3420000000000001</v>
      </c>
      <c r="D106" s="187">
        <v>-1.014</v>
      </c>
      <c r="E106" s="187">
        <v>-1.494</v>
      </c>
      <c r="F106" s="187">
        <v>0.74199999999999999</v>
      </c>
      <c r="G106" s="187">
        <v>3.53</v>
      </c>
      <c r="H106" s="187">
        <v>-3.262</v>
      </c>
      <c r="I106" s="107">
        <v>5.0650000000000004</v>
      </c>
      <c r="J106" s="107">
        <v>1.661</v>
      </c>
      <c r="K106" s="107">
        <v>1.758</v>
      </c>
      <c r="L106" s="107">
        <v>1.8149999999999999</v>
      </c>
      <c r="M106" s="107">
        <v>1.8859999999999999</v>
      </c>
      <c r="O106" s="359" t="s">
        <v>593</v>
      </c>
    </row>
    <row r="107" spans="1:29" x14ac:dyDescent="0.2">
      <c r="A107" s="68" t="s">
        <v>818</v>
      </c>
      <c r="B107" s="68"/>
      <c r="C107" s="187">
        <f>0.053-0.092</f>
        <v>-3.9E-2</v>
      </c>
      <c r="D107" s="187">
        <f>0.085-0.002</f>
        <v>8.3000000000000004E-2</v>
      </c>
      <c r="E107" s="187">
        <f>0.155-0.003</f>
        <v>0.152</v>
      </c>
      <c r="F107" s="187">
        <v>5.5E-2</v>
      </c>
      <c r="G107" s="187">
        <v>0.10299999999999999</v>
      </c>
      <c r="H107" s="187">
        <v>0.10199999999999999</v>
      </c>
      <c r="I107" s="107">
        <v>7.4999999999999997E-2</v>
      </c>
      <c r="J107" s="107">
        <v>7.4999999999999997E-2</v>
      </c>
      <c r="K107" s="107">
        <v>7.0999999999999994E-2</v>
      </c>
      <c r="L107" s="107">
        <v>7.0999999999999994E-2</v>
      </c>
      <c r="M107" s="107">
        <v>6.9000000000000006E-2</v>
      </c>
      <c r="O107" s="359" t="str">
        <f>$O$106</f>
        <v>Used in CC 'Total Gains/(Losses) plus Net Surplus/(Deficit) from associates &amp; joint ventures' total</v>
      </c>
    </row>
    <row r="108" spans="1:29" x14ac:dyDescent="0.2">
      <c r="A108" s="50" t="s">
        <v>128</v>
      </c>
      <c r="B108" s="68"/>
      <c r="C108" s="219">
        <v>6.5110000000000001</v>
      </c>
      <c r="D108" s="219">
        <v>3.891</v>
      </c>
      <c r="E108" s="219">
        <v>-5.8620000000000001</v>
      </c>
      <c r="F108" s="219">
        <v>-7</v>
      </c>
      <c r="G108" s="219">
        <v>-9.2669999999999995</v>
      </c>
      <c r="H108" s="219">
        <v>-11.670999999999999</v>
      </c>
      <c r="I108" s="278">
        <v>-2.7</v>
      </c>
      <c r="J108" s="278">
        <v>-2.2490000000000001</v>
      </c>
      <c r="K108" s="278">
        <v>0.65100000000000002</v>
      </c>
      <c r="L108" s="278">
        <v>2.5529999999999999</v>
      </c>
      <c r="M108" s="278">
        <v>4.2519999999999998</v>
      </c>
      <c r="O108" s="359" t="str">
        <f>$O$17</f>
        <v>Used in CHECK in main model</v>
      </c>
    </row>
    <row r="109" spans="1:29" ht="13.5" x14ac:dyDescent="0.25">
      <c r="A109" s="223" t="s">
        <v>559</v>
      </c>
      <c r="B109" s="68"/>
      <c r="C109" s="221" t="str">
        <f t="shared" ref="C109:M109" si="15">IF(ROUND(C$108-(SUM(C$100:C$104)-SUM(C$39:C$55)+SUM(C$106,C$107)),3)=0,"OK","ERROR")</f>
        <v>OK</v>
      </c>
      <c r="D109" s="221" t="str">
        <f t="shared" si="15"/>
        <v>OK</v>
      </c>
      <c r="E109" s="221" t="str">
        <f t="shared" si="15"/>
        <v>OK</v>
      </c>
      <c r="F109" s="221" t="str">
        <f t="shared" si="15"/>
        <v>OK</v>
      </c>
      <c r="G109" s="221" t="str">
        <f t="shared" si="15"/>
        <v>OK</v>
      </c>
      <c r="H109" s="221" t="str">
        <f t="shared" si="15"/>
        <v>OK</v>
      </c>
      <c r="I109" s="222" t="str">
        <f t="shared" si="15"/>
        <v>OK</v>
      </c>
      <c r="J109" s="222" t="str">
        <f t="shared" si="15"/>
        <v>OK</v>
      </c>
      <c r="K109" s="222" t="str">
        <f t="shared" si="15"/>
        <v>OK</v>
      </c>
      <c r="L109" s="222" t="str">
        <f t="shared" si="15"/>
        <v>OK</v>
      </c>
      <c r="M109" s="222" t="str">
        <f t="shared" si="15"/>
        <v>OK</v>
      </c>
    </row>
    <row r="110" spans="1:29" x14ac:dyDescent="0.2">
      <c r="A110" s="68" t="s">
        <v>289</v>
      </c>
      <c r="B110" s="68"/>
      <c r="C110" s="187">
        <v>1.1180000000000001</v>
      </c>
      <c r="D110" s="187">
        <v>0.872</v>
      </c>
      <c r="E110" s="187">
        <v>3.375</v>
      </c>
      <c r="F110" s="187">
        <v>4.9729999999999999</v>
      </c>
      <c r="G110" s="187">
        <v>6.0869999999999997</v>
      </c>
      <c r="H110" s="187">
        <v>6.7560000000000002</v>
      </c>
      <c r="I110" s="107">
        <v>11.811</v>
      </c>
      <c r="J110" s="107">
        <v>11.73</v>
      </c>
      <c r="K110" s="107">
        <v>11.769</v>
      </c>
      <c r="L110" s="107">
        <v>11.946999999999999</v>
      </c>
      <c r="M110" s="107">
        <v>12.086</v>
      </c>
      <c r="O110" s="314" t="str">
        <f>$O$3</f>
        <v>√</v>
      </c>
    </row>
    <row r="111" spans="1:29" x14ac:dyDescent="0.2">
      <c r="A111" s="68" t="s">
        <v>338</v>
      </c>
      <c r="B111" s="68"/>
      <c r="C111" s="187">
        <v>7.59</v>
      </c>
      <c r="D111" s="187">
        <v>9.0310000000000006</v>
      </c>
      <c r="E111" s="187">
        <v>10.243</v>
      </c>
      <c r="F111" s="187">
        <v>8.7759999999999998</v>
      </c>
      <c r="G111" s="187">
        <v>11.375999999999999</v>
      </c>
      <c r="H111" s="187">
        <v>10.974</v>
      </c>
      <c r="I111" s="107">
        <v>10.36</v>
      </c>
      <c r="J111" s="107">
        <v>10.26</v>
      </c>
      <c r="K111" s="107">
        <v>10.268000000000001</v>
      </c>
      <c r="L111" s="107">
        <v>10.180999999999999</v>
      </c>
      <c r="M111" s="107">
        <v>10.239000000000001</v>
      </c>
      <c r="O111" s="314" t="str">
        <f>$O$3</f>
        <v>√</v>
      </c>
    </row>
    <row r="112" spans="1:29" x14ac:dyDescent="0.2">
      <c r="A112" s="68" t="s">
        <v>560</v>
      </c>
      <c r="B112" s="68"/>
      <c r="C112" s="187">
        <v>43.377000000000002</v>
      </c>
      <c r="D112" s="188">
        <v>49.725999999999999</v>
      </c>
      <c r="E112" s="188">
        <v>51.994999999999997</v>
      </c>
      <c r="F112" s="188">
        <v>52.231999999999999</v>
      </c>
      <c r="G112" s="188">
        <v>59.012</v>
      </c>
      <c r="H112" s="187">
        <v>57.250999999999998</v>
      </c>
      <c r="I112" s="280">
        <v>49.445</v>
      </c>
      <c r="J112" s="280">
        <v>54.055</v>
      </c>
      <c r="K112" s="280">
        <v>48.320999999999998</v>
      </c>
      <c r="L112" s="280">
        <v>53.939</v>
      </c>
      <c r="M112" s="280">
        <v>62.014000000000003</v>
      </c>
      <c r="O112" s="358" t="s">
        <v>699</v>
      </c>
    </row>
    <row r="113" spans="1:15" x14ac:dyDescent="0.2">
      <c r="A113" s="68" t="s">
        <v>561</v>
      </c>
      <c r="B113" s="68"/>
      <c r="C113" s="187">
        <v>26.213000000000001</v>
      </c>
      <c r="D113" s="187">
        <v>28.637</v>
      </c>
      <c r="E113" s="187">
        <v>30.486999999999998</v>
      </c>
      <c r="F113" s="187">
        <v>29.986000000000001</v>
      </c>
      <c r="G113" s="187">
        <v>29.548999999999999</v>
      </c>
      <c r="H113" s="187">
        <v>29.376999999999999</v>
      </c>
      <c r="I113" s="107">
        <v>29.561</v>
      </c>
      <c r="J113" s="280">
        <v>30.565000000000001</v>
      </c>
      <c r="K113" s="280">
        <v>31.369</v>
      </c>
      <c r="L113" s="280">
        <v>31.036000000000001</v>
      </c>
      <c r="M113" s="280">
        <v>30.966000000000001</v>
      </c>
      <c r="O113" s="314" t="str">
        <f>$O$3</f>
        <v>√</v>
      </c>
    </row>
    <row r="114" spans="1:15" x14ac:dyDescent="0.2">
      <c r="A114" s="68" t="s">
        <v>562</v>
      </c>
      <c r="B114" s="68"/>
      <c r="C114" s="187">
        <v>25.048999999999999</v>
      </c>
      <c r="D114" s="187">
        <v>25.696000000000002</v>
      </c>
      <c r="E114" s="187">
        <v>27.536000000000001</v>
      </c>
      <c r="F114" s="187">
        <v>28.663</v>
      </c>
      <c r="G114" s="187">
        <v>30.093</v>
      </c>
      <c r="H114" s="187">
        <v>31.308</v>
      </c>
      <c r="I114" s="280">
        <v>32.634999999999998</v>
      </c>
      <c r="J114" s="280">
        <v>33.609000000000002</v>
      </c>
      <c r="K114" s="280">
        <v>34.631</v>
      </c>
      <c r="L114" s="280">
        <v>35.923999999999999</v>
      </c>
      <c r="M114" s="280">
        <v>37.369999999999997</v>
      </c>
      <c r="O114" s="314" t="str">
        <f>$O$3</f>
        <v>√</v>
      </c>
    </row>
    <row r="115" spans="1:15" x14ac:dyDescent="0.2">
      <c r="A115" s="68" t="s">
        <v>296</v>
      </c>
      <c r="B115" s="68"/>
      <c r="C115" s="187">
        <v>0.80400000000000005</v>
      </c>
      <c r="D115" s="187">
        <v>0.84499999999999997</v>
      </c>
      <c r="E115" s="187">
        <v>1.135</v>
      </c>
      <c r="F115" s="187">
        <v>1.1220000000000001</v>
      </c>
      <c r="G115" s="187">
        <v>1.157</v>
      </c>
      <c r="H115" s="187">
        <v>1.111</v>
      </c>
      <c r="I115" s="109">
        <v>1.071</v>
      </c>
      <c r="J115" s="109">
        <v>1.175</v>
      </c>
      <c r="K115" s="109">
        <v>1.1930000000000001</v>
      </c>
      <c r="L115" s="109">
        <v>1.1859999999999999</v>
      </c>
      <c r="M115" s="109">
        <v>1.165</v>
      </c>
      <c r="O115" s="314" t="str">
        <f>$O$3</f>
        <v>√</v>
      </c>
    </row>
    <row r="116" spans="1:15" x14ac:dyDescent="0.2">
      <c r="A116" s="68" t="s">
        <v>563</v>
      </c>
      <c r="B116" s="68"/>
      <c r="C116" s="187">
        <v>1.0620000000000001</v>
      </c>
      <c r="D116" s="187">
        <v>1.375</v>
      </c>
      <c r="E116" s="187">
        <v>1.429</v>
      </c>
      <c r="F116" s="187">
        <v>1.4630000000000001</v>
      </c>
      <c r="G116" s="187">
        <v>1.6910000000000001</v>
      </c>
      <c r="H116" s="187">
        <v>1.6319999999999999</v>
      </c>
      <c r="I116" s="109">
        <v>1.5489999999999999</v>
      </c>
      <c r="J116" s="109">
        <v>1.6919999999999999</v>
      </c>
      <c r="K116" s="109">
        <v>1.52</v>
      </c>
      <c r="L116" s="109">
        <v>1.5369999999999999</v>
      </c>
      <c r="M116" s="109">
        <v>1.5329999999999999</v>
      </c>
      <c r="O116" s="358" t="s">
        <v>700</v>
      </c>
    </row>
    <row r="117" spans="1:15" x14ac:dyDescent="0.2">
      <c r="A117" s="50" t="s">
        <v>564</v>
      </c>
      <c r="B117" s="68"/>
      <c r="C117" s="180">
        <f t="shared" ref="C117:M117" si="16">SUM(C$110:C$116,C$68:C$69)</f>
        <v>105.21300000000001</v>
      </c>
      <c r="D117" s="180">
        <f t="shared" si="16"/>
        <v>116.18199999999999</v>
      </c>
      <c r="E117" s="180">
        <f t="shared" si="16"/>
        <v>126.2</v>
      </c>
      <c r="F117" s="180">
        <f t="shared" si="16"/>
        <v>127.21499999999999</v>
      </c>
      <c r="G117" s="180">
        <f t="shared" si="16"/>
        <v>138.965</v>
      </c>
      <c r="H117" s="180">
        <f t="shared" si="16"/>
        <v>138.40899999999999</v>
      </c>
      <c r="I117" s="113">
        <f t="shared" si="16"/>
        <v>136.154</v>
      </c>
      <c r="J117" s="113">
        <f t="shared" si="16"/>
        <v>143.261</v>
      </c>
      <c r="K117" s="113">
        <f t="shared" si="16"/>
        <v>139.953</v>
      </c>
      <c r="L117" s="113">
        <f t="shared" si="16"/>
        <v>147.489</v>
      </c>
      <c r="M117" s="113">
        <f t="shared" si="16"/>
        <v>158.11199999999997</v>
      </c>
    </row>
    <row r="118" spans="1:15" x14ac:dyDescent="0.2">
      <c r="A118" s="68" t="s">
        <v>531</v>
      </c>
      <c r="B118" s="68"/>
      <c r="C118" s="187">
        <v>35.884999999999998</v>
      </c>
      <c r="D118" s="187">
        <v>37.167000000000002</v>
      </c>
      <c r="E118" s="187">
        <v>49.889000000000003</v>
      </c>
      <c r="F118" s="187">
        <v>57.582999999999998</v>
      </c>
      <c r="G118" s="187">
        <v>76.826999999999998</v>
      </c>
      <c r="H118" s="187">
        <v>84.51</v>
      </c>
      <c r="I118" s="107">
        <v>85.308999999999997</v>
      </c>
      <c r="J118" s="107">
        <v>94.504000000000005</v>
      </c>
      <c r="K118" s="107">
        <v>90.09</v>
      </c>
      <c r="L118" s="107">
        <v>94.581999999999994</v>
      </c>
      <c r="M118" s="107">
        <v>101.075</v>
      </c>
      <c r="O118" s="358" t="s">
        <v>701</v>
      </c>
    </row>
    <row r="119" spans="1:15" x14ac:dyDescent="0.2">
      <c r="A119" s="68" t="s">
        <v>566</v>
      </c>
      <c r="B119" s="68"/>
      <c r="C119" s="187">
        <v>18.538</v>
      </c>
      <c r="D119" s="187">
        <v>22.032</v>
      </c>
      <c r="E119" s="187">
        <v>23.242000000000001</v>
      </c>
      <c r="F119" s="187">
        <v>24.963000000000001</v>
      </c>
      <c r="G119" s="187">
        <v>27.207000000000001</v>
      </c>
      <c r="H119" s="187">
        <v>30.527999999999999</v>
      </c>
      <c r="I119" s="107">
        <v>28.882000000000001</v>
      </c>
      <c r="J119" s="107">
        <v>27.742999999999999</v>
      </c>
      <c r="K119" s="107">
        <v>26.87</v>
      </c>
      <c r="L119" s="107">
        <v>26.026</v>
      </c>
      <c r="M119" s="107">
        <v>25.890999999999998</v>
      </c>
      <c r="O119" s="358" t="s">
        <v>702</v>
      </c>
    </row>
    <row r="120" spans="1:15" x14ac:dyDescent="0.2">
      <c r="A120" s="50" t="s">
        <v>567</v>
      </c>
      <c r="B120" s="68"/>
      <c r="C120" s="180">
        <f>SUM(C$118:C$119)</f>
        <v>54.423000000000002</v>
      </c>
      <c r="D120" s="180">
        <f t="shared" ref="D120:M120" si="17">SUM(D$118:D$119)</f>
        <v>59.198999999999998</v>
      </c>
      <c r="E120" s="180">
        <f t="shared" si="17"/>
        <v>73.131</v>
      </c>
      <c r="F120" s="180">
        <f t="shared" si="17"/>
        <v>82.545999999999992</v>
      </c>
      <c r="G120" s="180">
        <f t="shared" si="17"/>
        <v>104.03399999999999</v>
      </c>
      <c r="H120" s="180">
        <f t="shared" si="17"/>
        <v>115.03800000000001</v>
      </c>
      <c r="I120" s="113">
        <f t="shared" si="17"/>
        <v>114.191</v>
      </c>
      <c r="J120" s="113">
        <f t="shared" si="17"/>
        <v>122.247</v>
      </c>
      <c r="K120" s="113">
        <f t="shared" si="17"/>
        <v>116.96000000000001</v>
      </c>
      <c r="L120" s="113">
        <f t="shared" si="17"/>
        <v>120.60799999999999</v>
      </c>
      <c r="M120" s="113">
        <f t="shared" si="17"/>
        <v>126.96600000000001</v>
      </c>
    </row>
    <row r="121" spans="1:15" x14ac:dyDescent="0.2">
      <c r="A121" s="50" t="s">
        <v>129</v>
      </c>
      <c r="B121" s="68"/>
      <c r="C121" s="207">
        <v>50.79</v>
      </c>
      <c r="D121" s="207">
        <v>56.982999999999997</v>
      </c>
      <c r="E121" s="207">
        <v>53.069000000000003</v>
      </c>
      <c r="F121" s="207">
        <v>44.668999999999997</v>
      </c>
      <c r="G121" s="207">
        <v>34.930999999999997</v>
      </c>
      <c r="H121" s="207">
        <v>23.370999999999999</v>
      </c>
      <c r="I121" s="208">
        <v>21.963000000000001</v>
      </c>
      <c r="J121" s="208">
        <v>21.013999999999999</v>
      </c>
      <c r="K121" s="208">
        <v>22.992999999999999</v>
      </c>
      <c r="L121" s="208">
        <v>26.881</v>
      </c>
      <c r="M121" s="208">
        <v>31.146000000000001</v>
      </c>
      <c r="O121" s="358" t="s">
        <v>703</v>
      </c>
    </row>
    <row r="122" spans="1:15" ht="13.5" x14ac:dyDescent="0.25">
      <c r="A122" s="223" t="s">
        <v>568</v>
      </c>
      <c r="B122" s="68"/>
      <c r="C122" s="221" t="str">
        <f t="shared" ref="C122:M122" si="18">IF(ROUND(C$121-(SUM(C$110:C$116,C$68:C$69)-SUM(C$118:C$119)),3)=0,"OK","ERROR")</f>
        <v>OK</v>
      </c>
      <c r="D122" s="221" t="str">
        <f t="shared" si="18"/>
        <v>OK</v>
      </c>
      <c r="E122" s="221" t="str">
        <f t="shared" si="18"/>
        <v>OK</v>
      </c>
      <c r="F122" s="221" t="str">
        <f t="shared" si="18"/>
        <v>OK</v>
      </c>
      <c r="G122" s="221" t="str">
        <f t="shared" si="18"/>
        <v>OK</v>
      </c>
      <c r="H122" s="221" t="str">
        <f t="shared" si="18"/>
        <v>OK</v>
      </c>
      <c r="I122" s="222" t="str">
        <f t="shared" si="18"/>
        <v>OK</v>
      </c>
      <c r="J122" s="222" t="str">
        <f t="shared" si="18"/>
        <v>OK</v>
      </c>
      <c r="K122" s="222" t="str">
        <f t="shared" si="18"/>
        <v>OK</v>
      </c>
      <c r="L122" s="222" t="str">
        <f t="shared" si="18"/>
        <v>OK</v>
      </c>
      <c r="M122" s="222" t="str">
        <f t="shared" si="18"/>
        <v>OK</v>
      </c>
    </row>
    <row r="123" spans="1:15" ht="15.75" x14ac:dyDescent="0.25">
      <c r="A123" s="51" t="s">
        <v>298</v>
      </c>
      <c r="B123" s="5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</row>
    <row r="124" spans="1:15" x14ac:dyDescent="0.2">
      <c r="A124" s="68" t="s">
        <v>185</v>
      </c>
      <c r="B124" s="68"/>
      <c r="C124" s="178">
        <v>20.98</v>
      </c>
      <c r="D124" s="178">
        <v>23.344999999999999</v>
      </c>
      <c r="E124" s="178">
        <v>22.587</v>
      </c>
      <c r="F124" s="178">
        <v>21.774000000000001</v>
      </c>
      <c r="G124" s="178">
        <v>20.856999999999999</v>
      </c>
      <c r="H124" s="178">
        <v>21.236999999999998</v>
      </c>
      <c r="I124" s="107">
        <v>22.387</v>
      </c>
      <c r="J124" s="107">
        <v>23.709</v>
      </c>
      <c r="K124" s="107">
        <v>24.890999999999998</v>
      </c>
      <c r="L124" s="107">
        <v>26.114000000000001</v>
      </c>
      <c r="M124" s="107">
        <v>27.53</v>
      </c>
      <c r="O124" s="314" t="str">
        <f>$O$3</f>
        <v>√</v>
      </c>
    </row>
    <row r="125" spans="1:15" x14ac:dyDescent="0.2">
      <c r="A125" s="68" t="s">
        <v>186</v>
      </c>
      <c r="B125" s="68"/>
      <c r="C125" s="178">
        <v>4.4400000000000004</v>
      </c>
      <c r="D125" s="178">
        <v>5.0709999999999997</v>
      </c>
      <c r="E125" s="178">
        <v>4.4080000000000004</v>
      </c>
      <c r="F125" s="178">
        <v>3.9870000000000001</v>
      </c>
      <c r="G125" s="178">
        <v>3.7909999999999999</v>
      </c>
      <c r="H125" s="178">
        <v>4.2320000000000002</v>
      </c>
      <c r="I125" s="107">
        <v>5.0259999999999998</v>
      </c>
      <c r="J125" s="107">
        <v>5.0830000000000002</v>
      </c>
      <c r="K125" s="107">
        <v>5.4379999999999997</v>
      </c>
      <c r="L125" s="107">
        <v>5.62</v>
      </c>
      <c r="M125" s="107">
        <v>5.7370000000000001</v>
      </c>
      <c r="O125" s="359" t="s">
        <v>588</v>
      </c>
    </row>
    <row r="126" spans="1:15" x14ac:dyDescent="0.2">
      <c r="A126" s="68" t="s">
        <v>187</v>
      </c>
      <c r="B126" s="68"/>
      <c r="C126" s="178">
        <v>-1.08</v>
      </c>
      <c r="D126" s="178">
        <v>-1.47</v>
      </c>
      <c r="E126" s="178">
        <v>-1.6359999999999999</v>
      </c>
      <c r="F126" s="178">
        <v>-1.831</v>
      </c>
      <c r="G126" s="178">
        <v>-1.679</v>
      </c>
      <c r="H126" s="178">
        <v>-1.736</v>
      </c>
      <c r="I126" s="107">
        <v>-1.4730000000000001</v>
      </c>
      <c r="J126" s="107">
        <v>-1.488</v>
      </c>
      <c r="K126" s="107">
        <v>-1.508</v>
      </c>
      <c r="L126" s="107">
        <v>-1.5229999999999999</v>
      </c>
      <c r="M126" s="107">
        <v>-1.5249999999999999</v>
      </c>
      <c r="O126" s="359" t="str">
        <f>$O$125</f>
        <v>Used in 'Other taxes' total</v>
      </c>
    </row>
    <row r="127" spans="1:15" x14ac:dyDescent="0.2">
      <c r="A127" s="68" t="s">
        <v>188</v>
      </c>
      <c r="B127" s="68"/>
      <c r="C127" s="178">
        <v>0.46800000000000003</v>
      </c>
      <c r="D127" s="178">
        <v>0.52200000000000002</v>
      </c>
      <c r="E127" s="178">
        <v>0.5</v>
      </c>
      <c r="F127" s="178">
        <v>0.46100000000000002</v>
      </c>
      <c r="G127" s="178">
        <v>0.46200000000000002</v>
      </c>
      <c r="H127" s="178">
        <v>0.46200000000000002</v>
      </c>
      <c r="I127" s="107">
        <v>0.46</v>
      </c>
      <c r="J127" s="107">
        <v>0.47699999999999998</v>
      </c>
      <c r="K127" s="107">
        <v>0.499</v>
      </c>
      <c r="L127" s="107">
        <v>0.51800000000000002</v>
      </c>
      <c r="M127" s="107">
        <v>0.54</v>
      </c>
      <c r="O127" s="359" t="str">
        <f>$O$125</f>
        <v>Used in 'Other taxes' total</v>
      </c>
    </row>
    <row r="128" spans="1:15" x14ac:dyDescent="0.2">
      <c r="A128" s="68" t="s">
        <v>548</v>
      </c>
      <c r="B128" s="68"/>
      <c r="C128" s="178">
        <v>9.891</v>
      </c>
      <c r="D128" s="178">
        <v>10.122</v>
      </c>
      <c r="E128" s="178">
        <v>9.2759999999999998</v>
      </c>
      <c r="F128" s="178">
        <v>7.2</v>
      </c>
      <c r="G128" s="178">
        <v>6.9569999999999999</v>
      </c>
      <c r="H128" s="178">
        <v>8.6120000000000001</v>
      </c>
      <c r="I128" s="107">
        <v>8.6229999999999993</v>
      </c>
      <c r="J128" s="107">
        <v>9.49</v>
      </c>
      <c r="K128" s="107">
        <v>10.042999999999999</v>
      </c>
      <c r="L128" s="107">
        <v>10.44</v>
      </c>
      <c r="M128" s="107">
        <v>10.724</v>
      </c>
      <c r="O128" s="314" t="str">
        <f>$O$3</f>
        <v>√</v>
      </c>
    </row>
    <row r="129" spans="1:16" x14ac:dyDescent="0.2">
      <c r="A129" s="68" t="s">
        <v>549</v>
      </c>
      <c r="B129" s="68"/>
      <c r="C129" s="178">
        <v>2.3180000000000001</v>
      </c>
      <c r="D129" s="178">
        <v>2.7709999999999999</v>
      </c>
      <c r="E129" s="178">
        <v>2.637</v>
      </c>
      <c r="F129" s="178">
        <v>1.9359999999999999</v>
      </c>
      <c r="G129" s="178">
        <v>1.901</v>
      </c>
      <c r="H129" s="178">
        <v>1.9710000000000001</v>
      </c>
      <c r="I129" s="107">
        <v>1.996</v>
      </c>
      <c r="J129" s="107">
        <v>2.278</v>
      </c>
      <c r="K129" s="107">
        <v>2.492</v>
      </c>
      <c r="L129" s="107">
        <v>2.9729999999999999</v>
      </c>
      <c r="M129" s="107">
        <v>3.3420000000000001</v>
      </c>
      <c r="O129" s="359" t="str">
        <f>$O$125</f>
        <v>Used in 'Other taxes' total</v>
      </c>
    </row>
    <row r="130" spans="1:16" x14ac:dyDescent="0.2">
      <c r="A130" s="68" t="s">
        <v>550</v>
      </c>
      <c r="B130" s="68"/>
      <c r="C130" s="178">
        <v>11.215</v>
      </c>
      <c r="D130" s="178">
        <v>11.115</v>
      </c>
      <c r="E130" s="178">
        <v>11.551</v>
      </c>
      <c r="F130" s="178">
        <v>11.917</v>
      </c>
      <c r="G130" s="178">
        <v>13.708</v>
      </c>
      <c r="H130" s="178">
        <v>14.571999999999999</v>
      </c>
      <c r="I130" s="107">
        <v>15.404999999999999</v>
      </c>
      <c r="J130" s="107">
        <v>16.524999999999999</v>
      </c>
      <c r="K130" s="107">
        <v>17.544</v>
      </c>
      <c r="L130" s="107">
        <v>18.449000000000002</v>
      </c>
      <c r="M130" s="107">
        <v>19.114999999999998</v>
      </c>
      <c r="O130" s="359" t="str">
        <f>$O$125</f>
        <v>Used in 'Other taxes' total</v>
      </c>
    </row>
    <row r="131" spans="1:16" x14ac:dyDescent="0.2">
      <c r="A131" s="68" t="s">
        <v>879</v>
      </c>
      <c r="B131" s="68"/>
      <c r="C131" s="178">
        <f>0.786+0.222+0.819+0.561</f>
        <v>2.3879999999999999</v>
      </c>
      <c r="D131" s="178">
        <f>0.851+0.226+0.819+0.528</f>
        <v>2.4239999999999999</v>
      </c>
      <c r="E131" s="178">
        <f>0.868+0.171+0.781+0.514</f>
        <v>2.3339999999999996</v>
      </c>
      <c r="F131" s="178">
        <f>0.91+0.171+0.805+0.622</f>
        <v>2.508</v>
      </c>
      <c r="G131" s="178">
        <f>1.016+0.172+0.872+0.575</f>
        <v>2.6349999999999998</v>
      </c>
      <c r="H131" s="178">
        <v>2.698</v>
      </c>
      <c r="I131" s="107">
        <v>2.7290000000000001</v>
      </c>
      <c r="J131" s="107">
        <v>2.9409999999999998</v>
      </c>
      <c r="K131" s="107">
        <v>3.15</v>
      </c>
      <c r="L131" s="107">
        <v>3.3650000000000002</v>
      </c>
      <c r="M131" s="107">
        <v>3.48</v>
      </c>
      <c r="O131" s="314" t="str">
        <f>$O$3</f>
        <v>√</v>
      </c>
    </row>
    <row r="132" spans="1:16" x14ac:dyDescent="0.2">
      <c r="A132" s="68" t="s">
        <v>917</v>
      </c>
      <c r="B132" s="68"/>
      <c r="C132" s="178">
        <f>1.836-0.561+0.553+0.238+0.23+0.094+0.054</f>
        <v>2.4439999999999995</v>
      </c>
      <c r="D132" s="178">
        <f>0.573+0.159+0.222+0.804+0.303+0.26+0.105+0.046</f>
        <v>2.4719999999999995</v>
      </c>
      <c r="E132" s="178">
        <f>0.616+0.172+0.213+0.891+0.262+0.215+0.08+0.039</f>
        <v>2.488</v>
      </c>
      <c r="F132" s="178">
        <f>0.6+0.217+0.225+0.851+0.175+0.219+0.069+0.039</f>
        <v>2.395</v>
      </c>
      <c r="G132" s="178">
        <f>0.623+0.22+0.229+0.924+0.188+0.214+0.062+0.036</f>
        <v>2.496</v>
      </c>
      <c r="H132" s="178">
        <v>2.617</v>
      </c>
      <c r="I132" s="107">
        <v>2.6859999999999999</v>
      </c>
      <c r="J132" s="107">
        <v>2.758</v>
      </c>
      <c r="K132" s="107">
        <v>2.8450000000000002</v>
      </c>
      <c r="L132" s="107">
        <v>2.9470000000000001</v>
      </c>
      <c r="M132" s="107">
        <v>3.0390000000000001</v>
      </c>
      <c r="O132" s="359" t="str">
        <f>$O$125</f>
        <v>Used in 'Other taxes' total</v>
      </c>
    </row>
    <row r="133" spans="1:16" ht="13.5" x14ac:dyDescent="0.25">
      <c r="A133" s="223" t="s">
        <v>558</v>
      </c>
      <c r="B133" s="166"/>
      <c r="C133" s="221" t="str">
        <f t="shared" ref="C133:M133" si="19">IF(ROUND(C$5-SUM(C$124:C$132),3)=0,"OK","ERROR")</f>
        <v>OK</v>
      </c>
      <c r="D133" s="221" t="str">
        <f t="shared" si="19"/>
        <v>OK</v>
      </c>
      <c r="E133" s="221" t="str">
        <f t="shared" si="19"/>
        <v>OK</v>
      </c>
      <c r="F133" s="221" t="str">
        <f t="shared" si="19"/>
        <v>OK</v>
      </c>
      <c r="G133" s="221" t="str">
        <f t="shared" si="19"/>
        <v>OK</v>
      </c>
      <c r="H133" s="221" t="str">
        <f t="shared" si="19"/>
        <v>OK</v>
      </c>
      <c r="I133" s="222" t="str">
        <f t="shared" si="19"/>
        <v>OK</v>
      </c>
      <c r="J133" s="222" t="str">
        <f t="shared" si="19"/>
        <v>OK</v>
      </c>
      <c r="K133" s="222" t="str">
        <f t="shared" si="19"/>
        <v>OK</v>
      </c>
      <c r="L133" s="222" t="str">
        <f t="shared" si="19"/>
        <v>OK</v>
      </c>
      <c r="M133" s="222" t="str">
        <f t="shared" si="19"/>
        <v>OK</v>
      </c>
    </row>
    <row r="134" spans="1:16" ht="15.75" x14ac:dyDescent="0.25">
      <c r="A134" s="51" t="s">
        <v>610</v>
      </c>
      <c r="B134" s="166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</row>
    <row r="135" spans="1:16" x14ac:dyDescent="0.2">
      <c r="A135" s="68" t="s">
        <v>577</v>
      </c>
      <c r="B135" s="166"/>
      <c r="C135" s="178">
        <v>0.75600000000000001</v>
      </c>
      <c r="D135" s="178">
        <v>1.2330000000000001</v>
      </c>
      <c r="E135" s="178">
        <v>1.248</v>
      </c>
      <c r="F135" s="178">
        <v>1.1459999999999999</v>
      </c>
      <c r="G135" s="178">
        <v>1.234</v>
      </c>
      <c r="H135" s="178">
        <v>1.181</v>
      </c>
      <c r="I135" s="107">
        <v>1.204</v>
      </c>
      <c r="J135" s="107">
        <v>1.242</v>
      </c>
      <c r="K135" s="107">
        <v>1.34</v>
      </c>
      <c r="L135" s="107">
        <v>1.377</v>
      </c>
      <c r="M135" s="107">
        <v>1.4379999999999999</v>
      </c>
      <c r="O135" s="359" t="s">
        <v>598</v>
      </c>
    </row>
    <row r="136" spans="1:16" x14ac:dyDescent="0.2">
      <c r="A136" s="68" t="s">
        <v>578</v>
      </c>
      <c r="B136" s="166"/>
      <c r="C136" s="178">
        <v>0.48399999999999999</v>
      </c>
      <c r="D136" s="178">
        <v>0.70399999999999996</v>
      </c>
      <c r="E136" s="178">
        <v>0.77100000000000002</v>
      </c>
      <c r="F136" s="178">
        <v>0.626</v>
      </c>
      <c r="G136" s="178">
        <v>0.80100000000000005</v>
      </c>
      <c r="H136" s="178">
        <v>0.85799999999999998</v>
      </c>
      <c r="I136" s="107">
        <v>0.82199999999999995</v>
      </c>
      <c r="J136" s="107">
        <v>0.878</v>
      </c>
      <c r="K136" s="107">
        <v>0.998</v>
      </c>
      <c r="L136" s="107">
        <v>1.1539999999999999</v>
      </c>
      <c r="M136" s="107">
        <v>1.395</v>
      </c>
      <c r="O136" s="359" t="str">
        <f>$O$135</f>
        <v>Used in 'CE &amp; SOE investment income' total</v>
      </c>
    </row>
    <row r="137" spans="1:16" x14ac:dyDescent="0.2">
      <c r="A137" s="68" t="s">
        <v>579</v>
      </c>
      <c r="B137" s="166"/>
      <c r="C137" s="178">
        <v>0.82499999999999996</v>
      </c>
      <c r="D137" s="178">
        <v>1.0669999999999999</v>
      </c>
      <c r="E137" s="178">
        <v>0.89400000000000002</v>
      </c>
      <c r="F137" s="178">
        <v>1.5920000000000001</v>
      </c>
      <c r="G137" s="178">
        <v>1.6339999999999999</v>
      </c>
      <c r="H137" s="178">
        <v>1.071</v>
      </c>
      <c r="I137" s="107">
        <v>1.171</v>
      </c>
      <c r="J137" s="107">
        <v>1.171</v>
      </c>
      <c r="K137" s="107">
        <v>1.2150000000000001</v>
      </c>
      <c r="L137" s="107">
        <v>1.246</v>
      </c>
      <c r="M137" s="107">
        <v>1.2729999999999999</v>
      </c>
      <c r="O137" s="314" t="str">
        <f>$O$3</f>
        <v>√</v>
      </c>
    </row>
    <row r="138" spans="1:16" ht="13.5" x14ac:dyDescent="0.25">
      <c r="A138" s="223" t="s">
        <v>580</v>
      </c>
      <c r="B138" s="166"/>
      <c r="C138" s="221" t="str">
        <f t="shared" ref="C138:M138" si="20">IF(ROUND(C$8-C$103-SUM(C$135:C$136,-C$137),3)=0,"OK","ERROR")</f>
        <v>OK</v>
      </c>
      <c r="D138" s="221" t="str">
        <f t="shared" si="20"/>
        <v>OK</v>
      </c>
      <c r="E138" s="221" t="str">
        <f t="shared" si="20"/>
        <v>OK</v>
      </c>
      <c r="F138" s="221" t="str">
        <f t="shared" si="20"/>
        <v>OK</v>
      </c>
      <c r="G138" s="221" t="str">
        <f t="shared" si="20"/>
        <v>OK</v>
      </c>
      <c r="H138" s="221" t="str">
        <f t="shared" si="20"/>
        <v>OK</v>
      </c>
      <c r="I138" s="222" t="str">
        <f t="shared" si="20"/>
        <v>OK</v>
      </c>
      <c r="J138" s="222" t="str">
        <f t="shared" si="20"/>
        <v>OK</v>
      </c>
      <c r="K138" s="222" t="str">
        <f t="shared" si="20"/>
        <v>OK</v>
      </c>
      <c r="L138" s="222" t="str">
        <f t="shared" si="20"/>
        <v>OK</v>
      </c>
      <c r="M138" s="222" t="str">
        <f t="shared" si="20"/>
        <v>OK</v>
      </c>
    </row>
    <row r="139" spans="1:16" ht="15.75" x14ac:dyDescent="0.25">
      <c r="A139" s="51" t="s">
        <v>299</v>
      </c>
      <c r="B139" s="51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O139" s="265"/>
      <c r="P139" s="265"/>
    </row>
    <row r="140" spans="1:16" x14ac:dyDescent="0.2">
      <c r="A140" s="68" t="s">
        <v>410</v>
      </c>
      <c r="B140" s="68"/>
      <c r="C140" s="177">
        <v>6.81</v>
      </c>
      <c r="D140" s="177">
        <v>7.3479999999999999</v>
      </c>
      <c r="E140" s="177">
        <v>7.7439999999999998</v>
      </c>
      <c r="F140" s="177">
        <v>8.2899999999999991</v>
      </c>
      <c r="G140" s="177">
        <v>8.83</v>
      </c>
      <c r="H140" s="177">
        <v>9.5839999999999996</v>
      </c>
      <c r="I140" s="107">
        <v>10.234999999999999</v>
      </c>
      <c r="J140" s="107">
        <v>10.894</v>
      </c>
      <c r="K140" s="107">
        <v>11.494999999999999</v>
      </c>
      <c r="L140" s="107">
        <v>12.102</v>
      </c>
      <c r="M140" s="107">
        <v>12.712</v>
      </c>
      <c r="O140" s="314" t="str">
        <f>$O$3</f>
        <v>√</v>
      </c>
      <c r="P140" s="265"/>
    </row>
    <row r="141" spans="1:16" x14ac:dyDescent="0.2">
      <c r="A141" s="68" t="s">
        <v>1035</v>
      </c>
      <c r="B141" s="68"/>
      <c r="C141" s="177">
        <v>0</v>
      </c>
      <c r="D141" s="177">
        <v>0</v>
      </c>
      <c r="E141" s="177">
        <v>0</v>
      </c>
      <c r="F141" s="177">
        <v>0</v>
      </c>
      <c r="G141" s="177">
        <v>0</v>
      </c>
      <c r="H141" s="177">
        <v>0</v>
      </c>
      <c r="I141" s="107">
        <v>0</v>
      </c>
      <c r="J141" s="107">
        <v>1.7729999999999999</v>
      </c>
      <c r="K141" s="107">
        <v>1.867</v>
      </c>
      <c r="L141" s="107">
        <v>1.8580000000000001</v>
      </c>
      <c r="M141" s="107">
        <v>1.85</v>
      </c>
      <c r="O141" s="314" t="str">
        <f>$O$3</f>
        <v>√</v>
      </c>
      <c r="P141" s="265"/>
    </row>
    <row r="142" spans="1:16" x14ac:dyDescent="0.2">
      <c r="A142" s="68" t="s">
        <v>1020</v>
      </c>
      <c r="B142" s="68"/>
      <c r="C142" s="177">
        <v>0</v>
      </c>
      <c r="D142" s="177">
        <v>0</v>
      </c>
      <c r="E142" s="177">
        <v>0</v>
      </c>
      <c r="F142" s="177">
        <v>0</v>
      </c>
      <c r="G142" s="177">
        <v>0</v>
      </c>
      <c r="H142" s="177">
        <v>0</v>
      </c>
      <c r="I142" s="107">
        <v>0</v>
      </c>
      <c r="J142" s="107">
        <v>1.3919999999999999</v>
      </c>
      <c r="K142" s="107">
        <v>1.4350000000000001</v>
      </c>
      <c r="L142" s="107">
        <v>1.4430000000000001</v>
      </c>
      <c r="M142" s="107">
        <v>1.456</v>
      </c>
      <c r="O142" s="314" t="str">
        <f>$O$3</f>
        <v>√</v>
      </c>
      <c r="P142" s="265"/>
    </row>
    <row r="143" spans="1:16" x14ac:dyDescent="0.2">
      <c r="A143" s="68" t="s">
        <v>1019</v>
      </c>
      <c r="B143" s="68"/>
      <c r="C143" s="177">
        <v>0</v>
      </c>
      <c r="D143" s="177">
        <v>0</v>
      </c>
      <c r="E143" s="177">
        <v>0</v>
      </c>
      <c r="F143" s="177">
        <v>0</v>
      </c>
      <c r="G143" s="177">
        <v>0</v>
      </c>
      <c r="H143" s="177">
        <v>0</v>
      </c>
      <c r="I143" s="107">
        <v>0</v>
      </c>
      <c r="J143" s="107">
        <v>1.288</v>
      </c>
      <c r="K143" s="107">
        <v>1.341</v>
      </c>
      <c r="L143" s="107">
        <v>1.3660000000000001</v>
      </c>
      <c r="M143" s="107">
        <v>1.391</v>
      </c>
      <c r="O143" s="314" t="str">
        <f>$O$3</f>
        <v>√</v>
      </c>
      <c r="P143" s="265"/>
    </row>
    <row r="144" spans="1:16" x14ac:dyDescent="0.2">
      <c r="A144" s="68" t="s">
        <v>1034</v>
      </c>
      <c r="B144" s="68"/>
      <c r="C144" s="177">
        <v>3.786</v>
      </c>
      <c r="D144" s="177">
        <v>3.734</v>
      </c>
      <c r="E144" s="177">
        <v>3.9890000000000003</v>
      </c>
      <c r="F144" s="177">
        <v>4.6360000000000001</v>
      </c>
      <c r="G144" s="177">
        <v>4.7490000000000006</v>
      </c>
      <c r="H144" s="177">
        <v>4.7939999999999996</v>
      </c>
      <c r="I144" s="107">
        <v>4.6550000000000002</v>
      </c>
      <c r="J144" s="107">
        <v>0.18099999999999999</v>
      </c>
      <c r="K144" s="107">
        <v>0</v>
      </c>
      <c r="L144" s="107">
        <v>0</v>
      </c>
      <c r="M144" s="107">
        <v>0</v>
      </c>
      <c r="O144" s="314" t="str">
        <f>$O$3</f>
        <v>√</v>
      </c>
      <c r="P144" s="265"/>
    </row>
    <row r="145" spans="1:16" x14ac:dyDescent="0.2">
      <c r="A145" s="68" t="s">
        <v>836</v>
      </c>
      <c r="B145" s="68"/>
      <c r="C145" s="177">
        <v>1.6890000000000001</v>
      </c>
      <c r="D145" s="177">
        <v>1.88</v>
      </c>
      <c r="E145" s="177">
        <v>2.0529999999999999</v>
      </c>
      <c r="F145" s="177">
        <v>2.1589999999999998</v>
      </c>
      <c r="G145" s="177">
        <v>2.13</v>
      </c>
      <c r="H145" s="177">
        <v>2.0710000000000002</v>
      </c>
      <c r="I145" s="107">
        <v>2.0470000000000002</v>
      </c>
      <c r="J145" s="107">
        <v>2.0259999999999998</v>
      </c>
      <c r="K145" s="107">
        <v>1.9930000000000001</v>
      </c>
      <c r="L145" s="107">
        <v>1.95</v>
      </c>
      <c r="M145" s="107">
        <v>1.9319999999999999</v>
      </c>
      <c r="O145" s="314" t="str">
        <f t="shared" ref="O145:O152" si="21">$O$3</f>
        <v>√</v>
      </c>
      <c r="P145" s="265"/>
    </row>
    <row r="146" spans="1:16" x14ac:dyDescent="0.2">
      <c r="A146" s="68" t="s">
        <v>1036</v>
      </c>
      <c r="B146" s="68"/>
      <c r="C146" s="177">
        <v>0.53600000000000003</v>
      </c>
      <c r="D146" s="177">
        <v>0.61399999999999999</v>
      </c>
      <c r="E146" s="177">
        <v>0.62</v>
      </c>
      <c r="F146" s="177">
        <v>0.628</v>
      </c>
      <c r="G146" s="177">
        <v>0.61599999999999999</v>
      </c>
      <c r="H146" s="177">
        <v>0.59899999999999998</v>
      </c>
      <c r="I146" s="107">
        <v>0.57199999999999995</v>
      </c>
      <c r="J146" s="107">
        <v>0.53900000000000003</v>
      </c>
      <c r="K146" s="107">
        <v>0.52100000000000002</v>
      </c>
      <c r="L146" s="107">
        <v>0.51100000000000001</v>
      </c>
      <c r="M146" s="107">
        <v>0.51</v>
      </c>
      <c r="O146" s="314" t="str">
        <f t="shared" si="21"/>
        <v>√</v>
      </c>
      <c r="P146" s="265"/>
    </row>
    <row r="147" spans="1:16" x14ac:dyDescent="0.2">
      <c r="A147" s="68" t="s">
        <v>1037</v>
      </c>
      <c r="B147" s="68"/>
      <c r="C147" s="190">
        <v>0.877</v>
      </c>
      <c r="D147" s="190">
        <v>0.89100000000000001</v>
      </c>
      <c r="E147" s="190">
        <v>0.98899999999999999</v>
      </c>
      <c r="F147" s="190">
        <v>1.1539999999999999</v>
      </c>
      <c r="G147" s="190">
        <v>1.1970000000000001</v>
      </c>
      <c r="H147" s="190">
        <v>1.1950000000000001</v>
      </c>
      <c r="I147" s="107">
        <v>1.1779999999999999</v>
      </c>
      <c r="J147" s="107">
        <v>1.1910000000000001</v>
      </c>
      <c r="K147" s="107">
        <v>1.2110000000000001</v>
      </c>
      <c r="L147" s="107">
        <v>1.228</v>
      </c>
      <c r="M147" s="107">
        <v>1.244</v>
      </c>
      <c r="O147" s="314" t="str">
        <f t="shared" si="21"/>
        <v>√</v>
      </c>
      <c r="P147" s="265"/>
    </row>
    <row r="148" spans="1:16" x14ac:dyDescent="0.2">
      <c r="A148" s="68" t="s">
        <v>972</v>
      </c>
      <c r="B148" s="68"/>
      <c r="C148" s="177">
        <v>0.434</v>
      </c>
      <c r="D148" s="177">
        <v>0.46500000000000002</v>
      </c>
      <c r="E148" s="177">
        <v>0.504</v>
      </c>
      <c r="F148" s="177">
        <v>0.52200000000000002</v>
      </c>
      <c r="G148" s="177">
        <v>0.55300000000000005</v>
      </c>
      <c r="H148" s="177">
        <v>0.57999999999999996</v>
      </c>
      <c r="I148" s="107">
        <v>0.63700000000000001</v>
      </c>
      <c r="J148" s="107">
        <v>0.66200000000000003</v>
      </c>
      <c r="K148" s="107">
        <v>0.68300000000000005</v>
      </c>
      <c r="L148" s="107">
        <v>0.71899999999999997</v>
      </c>
      <c r="M148" s="107">
        <v>0.76200000000000001</v>
      </c>
      <c r="O148" s="314" t="str">
        <f t="shared" si="21"/>
        <v>√</v>
      </c>
    </row>
    <row r="149" spans="1:16" x14ac:dyDescent="0.2">
      <c r="A149" s="68" t="s">
        <v>1038</v>
      </c>
      <c r="B149" s="68"/>
      <c r="C149" s="177">
        <f>0.27+0.078</f>
        <v>0.34800000000000003</v>
      </c>
      <c r="D149" s="177">
        <f>0.278+0.089</f>
        <v>0.36699999999999999</v>
      </c>
      <c r="E149" s="177">
        <v>0.39</v>
      </c>
      <c r="F149" s="177">
        <v>0.41099999999999998</v>
      </c>
      <c r="G149" s="177">
        <v>0.40899999999999997</v>
      </c>
      <c r="H149" s="177">
        <v>0.40100000000000002</v>
      </c>
      <c r="I149" s="107">
        <v>0.38500000000000001</v>
      </c>
      <c r="J149" s="107">
        <v>0.38</v>
      </c>
      <c r="K149" s="107">
        <v>0.377</v>
      </c>
      <c r="L149" s="107">
        <v>0.376</v>
      </c>
      <c r="M149" s="107">
        <v>0.376</v>
      </c>
      <c r="O149" s="314" t="str">
        <f t="shared" si="21"/>
        <v>√</v>
      </c>
    </row>
    <row r="150" spans="1:16" x14ac:dyDescent="0.2">
      <c r="A150" s="68" t="s">
        <v>837</v>
      </c>
      <c r="B150" s="68"/>
      <c r="C150" s="177">
        <v>0.38200000000000001</v>
      </c>
      <c r="D150" s="177">
        <v>0.38600000000000001</v>
      </c>
      <c r="E150" s="177">
        <v>0.44400000000000001</v>
      </c>
      <c r="F150" s="177">
        <v>0.56999999999999995</v>
      </c>
      <c r="G150" s="177">
        <v>0.62</v>
      </c>
      <c r="H150" s="177">
        <v>0.64400000000000002</v>
      </c>
      <c r="I150" s="107">
        <v>0.59199999999999997</v>
      </c>
      <c r="J150" s="107">
        <v>0.57399999999999995</v>
      </c>
      <c r="K150" s="107">
        <v>0.53600000000000003</v>
      </c>
      <c r="L150" s="107">
        <v>0.52900000000000003</v>
      </c>
      <c r="M150" s="107">
        <v>0.52800000000000002</v>
      </c>
      <c r="O150" s="314" t="str">
        <f t="shared" si="21"/>
        <v>√</v>
      </c>
    </row>
    <row r="151" spans="1:16" x14ac:dyDescent="0.2">
      <c r="A151" s="68" t="s">
        <v>1039</v>
      </c>
      <c r="B151" s="68"/>
      <c r="C151" s="177">
        <f>0.955+0.199</f>
        <v>1.1539999999999999</v>
      </c>
      <c r="D151" s="177">
        <f>0.989+0.236</f>
        <v>1.2250000000000001</v>
      </c>
      <c r="E151" s="177">
        <f>1.077+0.413</f>
        <v>1.49</v>
      </c>
      <c r="F151" s="177">
        <f>1.161+0.223</f>
        <v>1.3840000000000001</v>
      </c>
      <c r="G151" s="177">
        <f>1.297+0.234</f>
        <v>1.5309999999999999</v>
      </c>
      <c r="H151" s="177">
        <f>1.151+0.137</f>
        <v>1.288</v>
      </c>
      <c r="I151" s="107">
        <v>1.377</v>
      </c>
      <c r="J151" s="107">
        <v>1.3280000000000001</v>
      </c>
      <c r="K151" s="107">
        <v>1.304</v>
      </c>
      <c r="L151" s="107">
        <v>1.31</v>
      </c>
      <c r="M151" s="107">
        <v>1.323</v>
      </c>
      <c r="O151" s="314" t="str">
        <f t="shared" si="21"/>
        <v>√</v>
      </c>
    </row>
    <row r="152" spans="1:16" x14ac:dyDescent="0.2">
      <c r="A152" s="68" t="s">
        <v>538</v>
      </c>
      <c r="B152" s="68"/>
      <c r="C152" s="229">
        <v>0</v>
      </c>
      <c r="D152" s="229">
        <v>1.1020000000000001</v>
      </c>
      <c r="E152" s="229">
        <v>1.2809999999999999</v>
      </c>
      <c r="F152" s="229">
        <v>1.024</v>
      </c>
      <c r="G152" s="229">
        <v>1.042</v>
      </c>
      <c r="H152" s="177">
        <v>0.68799999999999994</v>
      </c>
      <c r="I152" s="107">
        <v>0.73799999999999999</v>
      </c>
      <c r="J152" s="107">
        <v>0.748</v>
      </c>
      <c r="K152" s="107">
        <v>0.72699999999999998</v>
      </c>
      <c r="L152" s="107">
        <v>0.746</v>
      </c>
      <c r="M152" s="107">
        <v>0.77700000000000002</v>
      </c>
      <c r="O152" s="314" t="str">
        <f t="shared" si="21"/>
        <v>√</v>
      </c>
    </row>
    <row r="153" spans="1:16" ht="15.75" x14ac:dyDescent="0.25">
      <c r="A153" s="335" t="s">
        <v>852</v>
      </c>
      <c r="B153" s="68"/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O153" s="314"/>
      <c r="P153" s="265"/>
    </row>
    <row r="154" spans="1:16" x14ac:dyDescent="0.2">
      <c r="A154" s="332" t="s">
        <v>853</v>
      </c>
      <c r="B154" s="68"/>
      <c r="C154" s="190">
        <v>0</v>
      </c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O154" s="358" t="s">
        <v>940</v>
      </c>
      <c r="P154" s="265"/>
    </row>
    <row r="155" spans="1:16" x14ac:dyDescent="0.2">
      <c r="A155" s="332" t="s">
        <v>854</v>
      </c>
      <c r="B155" s="68"/>
      <c r="C155" s="190">
        <v>0</v>
      </c>
      <c r="D155" s="190">
        <v>0</v>
      </c>
      <c r="E155" s="190">
        <v>0</v>
      </c>
      <c r="F155" s="190">
        <v>0</v>
      </c>
      <c r="G155" s="190">
        <v>0</v>
      </c>
      <c r="H155" s="190">
        <v>0</v>
      </c>
      <c r="I155" s="107">
        <v>4.2000000000000003E-2</v>
      </c>
      <c r="J155" s="107">
        <v>0.46100000000000002</v>
      </c>
      <c r="K155" s="107">
        <v>0.32400000000000001</v>
      </c>
      <c r="L155" s="107">
        <v>0.32700000000000001</v>
      </c>
      <c r="M155" s="107">
        <v>0.34799999999999998</v>
      </c>
      <c r="O155" s="358" t="str">
        <f>O$154</f>
        <v>Only used as check on 'Forecast new operating spending' from 'Forecast Statement of Financial Performance'</v>
      </c>
      <c r="P155" s="265"/>
    </row>
    <row r="156" spans="1:16" x14ac:dyDescent="0.2">
      <c r="A156" s="332" t="s">
        <v>855</v>
      </c>
      <c r="B156" s="68"/>
      <c r="C156" s="190">
        <v>0</v>
      </c>
      <c r="D156" s="190">
        <v>0</v>
      </c>
      <c r="E156" s="190">
        <v>0</v>
      </c>
      <c r="F156" s="190">
        <v>0</v>
      </c>
      <c r="G156" s="190">
        <v>0</v>
      </c>
      <c r="H156" s="190">
        <v>0</v>
      </c>
      <c r="I156" s="109">
        <v>0</v>
      </c>
      <c r="J156" s="109">
        <v>0</v>
      </c>
      <c r="K156" s="109">
        <v>1</v>
      </c>
      <c r="L156" s="109">
        <v>1</v>
      </c>
      <c r="M156" s="109">
        <v>1</v>
      </c>
      <c r="O156" s="358" t="str">
        <f>O$154</f>
        <v>Only used as check on 'Forecast new operating spending' from 'Forecast Statement of Financial Performance'</v>
      </c>
      <c r="P156" s="265"/>
    </row>
    <row r="157" spans="1:16" x14ac:dyDescent="0.2">
      <c r="A157" s="332" t="s">
        <v>856</v>
      </c>
      <c r="B157" s="68"/>
      <c r="C157" s="190">
        <v>0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09">
        <v>0</v>
      </c>
      <c r="J157" s="109">
        <v>0</v>
      </c>
      <c r="K157" s="109">
        <v>0</v>
      </c>
      <c r="L157" s="109">
        <v>1.02</v>
      </c>
      <c r="M157" s="109">
        <v>1.02</v>
      </c>
      <c r="O157" s="358" t="str">
        <f>O$154</f>
        <v>Only used as check on 'Forecast new operating spending' from 'Forecast Statement of Financial Performance'</v>
      </c>
      <c r="P157" s="265"/>
    </row>
    <row r="158" spans="1:16" x14ac:dyDescent="0.2">
      <c r="A158" s="332" t="s">
        <v>857</v>
      </c>
      <c r="B158" s="68"/>
      <c r="C158" s="190">
        <v>0</v>
      </c>
      <c r="D158" s="190">
        <v>0</v>
      </c>
      <c r="E158" s="190">
        <v>0</v>
      </c>
      <c r="F158" s="190">
        <v>0</v>
      </c>
      <c r="G158" s="190">
        <v>0</v>
      </c>
      <c r="H158" s="190">
        <v>0</v>
      </c>
      <c r="I158" s="280">
        <v>0</v>
      </c>
      <c r="J158" s="280">
        <v>0</v>
      </c>
      <c r="K158" s="280">
        <v>0</v>
      </c>
      <c r="L158" s="280">
        <v>0</v>
      </c>
      <c r="M158" s="280">
        <v>1.04</v>
      </c>
      <c r="O158" s="358" t="str">
        <f>O$154</f>
        <v>Only used as check on 'Forecast new operating spending' from 'Forecast Statement of Financial Performance'</v>
      </c>
      <c r="P158" s="265"/>
    </row>
    <row r="159" spans="1:16" ht="13.5" x14ac:dyDescent="0.25">
      <c r="A159" s="336" t="s">
        <v>874</v>
      </c>
      <c r="B159" s="68"/>
      <c r="C159" s="221" t="str">
        <f t="shared" ref="C159:M159" si="22">IF(ROUND(C$35-SUM(C$154:C$158),3)=0,"OK","ERROR")</f>
        <v>OK</v>
      </c>
      <c r="D159" s="221" t="str">
        <f t="shared" si="22"/>
        <v>OK</v>
      </c>
      <c r="E159" s="221" t="str">
        <f t="shared" si="22"/>
        <v>OK</v>
      </c>
      <c r="F159" s="221" t="str">
        <f t="shared" si="22"/>
        <v>OK</v>
      </c>
      <c r="G159" s="221" t="str">
        <f t="shared" si="22"/>
        <v>OK</v>
      </c>
      <c r="H159" s="221" t="str">
        <f t="shared" si="22"/>
        <v>OK</v>
      </c>
      <c r="I159" s="222" t="str">
        <f t="shared" si="22"/>
        <v>OK</v>
      </c>
      <c r="J159" s="222" t="str">
        <f t="shared" si="22"/>
        <v>OK</v>
      </c>
      <c r="K159" s="222" t="str">
        <f t="shared" si="22"/>
        <v>OK</v>
      </c>
      <c r="L159" s="222" t="str">
        <f t="shared" si="22"/>
        <v>OK</v>
      </c>
      <c r="M159" s="222" t="str">
        <f t="shared" si="22"/>
        <v>OK</v>
      </c>
      <c r="O159" s="314"/>
      <c r="P159" s="265"/>
    </row>
    <row r="160" spans="1:16" ht="15.75" x14ac:dyDescent="0.25">
      <c r="A160" s="335" t="s">
        <v>859</v>
      </c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O160" s="314"/>
      <c r="P160" s="265"/>
    </row>
    <row r="161" spans="1:16" x14ac:dyDescent="0.2">
      <c r="A161" s="332" t="s">
        <v>853</v>
      </c>
      <c r="B161" s="68"/>
      <c r="C161" s="190">
        <v>0</v>
      </c>
      <c r="D161" s="190">
        <v>0</v>
      </c>
      <c r="E161" s="190">
        <v>0</v>
      </c>
      <c r="F161" s="190">
        <v>0</v>
      </c>
      <c r="G161" s="190">
        <v>0</v>
      </c>
      <c r="H161" s="190">
        <v>0</v>
      </c>
      <c r="I161" s="107">
        <v>2E-3</v>
      </c>
      <c r="J161" s="107">
        <v>0.40500000000000003</v>
      </c>
      <c r="K161" s="107">
        <v>0.61199999999999999</v>
      </c>
      <c r="L161" s="107">
        <v>0.81899999999999995</v>
      </c>
      <c r="M161" s="107">
        <v>0.91900000000000004</v>
      </c>
      <c r="O161" s="359" t="s">
        <v>941</v>
      </c>
      <c r="P161" s="265"/>
    </row>
    <row r="162" spans="1:16" x14ac:dyDescent="0.2">
      <c r="A162" s="332" t="s">
        <v>854</v>
      </c>
      <c r="B162" s="68"/>
      <c r="C162" s="190">
        <v>0</v>
      </c>
      <c r="D162" s="190">
        <v>0</v>
      </c>
      <c r="E162" s="190">
        <v>0</v>
      </c>
      <c r="F162" s="190">
        <v>0</v>
      </c>
      <c r="G162" s="190">
        <v>0</v>
      </c>
      <c r="H162" s="190">
        <v>0</v>
      </c>
      <c r="I162" s="107">
        <v>0</v>
      </c>
      <c r="J162" s="107">
        <v>0.1</v>
      </c>
      <c r="K162" s="107">
        <v>0.5</v>
      </c>
      <c r="L162" s="107">
        <v>0.75</v>
      </c>
      <c r="M162" s="107">
        <v>1</v>
      </c>
      <c r="O162" s="359" t="str">
        <f>O$161</f>
        <v>Used in 'Forecast New Capital Spending' total</v>
      </c>
      <c r="P162" s="265"/>
    </row>
    <row r="163" spans="1:16" x14ac:dyDescent="0.2">
      <c r="A163" s="332" t="s">
        <v>855</v>
      </c>
      <c r="B163" s="68"/>
      <c r="C163" s="190">
        <v>0</v>
      </c>
      <c r="D163" s="190">
        <v>0</v>
      </c>
      <c r="E163" s="190">
        <v>0</v>
      </c>
      <c r="F163" s="190">
        <v>0</v>
      </c>
      <c r="G163" s="190">
        <v>0</v>
      </c>
      <c r="H163" s="190">
        <v>0</v>
      </c>
      <c r="I163" s="109">
        <v>0</v>
      </c>
      <c r="J163" s="109">
        <v>0</v>
      </c>
      <c r="K163" s="109">
        <v>0.1</v>
      </c>
      <c r="L163" s="109">
        <v>0.4</v>
      </c>
      <c r="M163" s="109">
        <v>0.65</v>
      </c>
      <c r="O163" s="359" t="str">
        <f>O$161</f>
        <v>Used in 'Forecast New Capital Spending' total</v>
      </c>
      <c r="P163" s="265"/>
    </row>
    <row r="164" spans="1:16" x14ac:dyDescent="0.2">
      <c r="A164" s="332" t="s">
        <v>856</v>
      </c>
      <c r="B164" s="68"/>
      <c r="C164" s="190">
        <v>0</v>
      </c>
      <c r="D164" s="190">
        <v>0</v>
      </c>
      <c r="E164" s="190">
        <v>0</v>
      </c>
      <c r="F164" s="190">
        <v>0</v>
      </c>
      <c r="G164" s="190">
        <v>0</v>
      </c>
      <c r="H164" s="190">
        <v>0</v>
      </c>
      <c r="I164" s="107">
        <v>0</v>
      </c>
      <c r="J164" s="107">
        <v>0</v>
      </c>
      <c r="K164" s="107">
        <v>0</v>
      </c>
      <c r="L164" s="107">
        <v>0.1</v>
      </c>
      <c r="M164" s="107">
        <v>0.4</v>
      </c>
      <c r="O164" s="359" t="str">
        <f>O$161</f>
        <v>Used in 'Forecast New Capital Spending' total</v>
      </c>
      <c r="P164" s="265"/>
    </row>
    <row r="165" spans="1:16" x14ac:dyDescent="0.2">
      <c r="A165" s="332" t="s">
        <v>857</v>
      </c>
      <c r="B165" s="68"/>
      <c r="C165" s="190">
        <v>0</v>
      </c>
      <c r="D165" s="190">
        <v>0</v>
      </c>
      <c r="E165" s="190">
        <v>0</v>
      </c>
      <c r="F165" s="190">
        <v>0</v>
      </c>
      <c r="G165" s="190">
        <v>0</v>
      </c>
      <c r="H165" s="190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0.1</v>
      </c>
      <c r="O165" s="359" t="str">
        <f>O$161</f>
        <v>Used in 'Forecast New Capital Spending' total</v>
      </c>
      <c r="P165" s="265"/>
    </row>
    <row r="166" spans="1:16" x14ac:dyDescent="0.2">
      <c r="A166" s="332" t="s">
        <v>873</v>
      </c>
      <c r="B166" s="68"/>
      <c r="C166" s="190">
        <v>0</v>
      </c>
      <c r="D166" s="190">
        <v>0</v>
      </c>
      <c r="E166" s="190">
        <v>0</v>
      </c>
      <c r="F166" s="190">
        <v>0</v>
      </c>
      <c r="G166" s="190">
        <v>0</v>
      </c>
      <c r="H166" s="190">
        <v>0</v>
      </c>
      <c r="I166" s="109">
        <v>0</v>
      </c>
      <c r="J166" s="109">
        <v>0</v>
      </c>
      <c r="K166" s="109">
        <v>0</v>
      </c>
      <c r="L166" s="109">
        <v>0</v>
      </c>
      <c r="M166" s="109">
        <v>0</v>
      </c>
      <c r="O166" s="359" t="str">
        <f>O$161</f>
        <v>Used in 'Forecast New Capital Spending' total</v>
      </c>
      <c r="P166" s="265"/>
    </row>
    <row r="167" spans="1:16" ht="13.5" x14ac:dyDescent="0.25">
      <c r="A167" s="336" t="s">
        <v>858</v>
      </c>
      <c r="B167" s="68"/>
      <c r="C167" s="221" t="str">
        <f t="shared" ref="C167:M167" si="23">IF(ROUND(C$68-SUM(C$161:C$166),3)=0,"OK","ERROR")</f>
        <v>OK</v>
      </c>
      <c r="D167" s="221" t="str">
        <f t="shared" si="23"/>
        <v>OK</v>
      </c>
      <c r="E167" s="221" t="str">
        <f t="shared" si="23"/>
        <v>OK</v>
      </c>
      <c r="F167" s="221" t="str">
        <f t="shared" si="23"/>
        <v>OK</v>
      </c>
      <c r="G167" s="221" t="str">
        <f t="shared" si="23"/>
        <v>OK</v>
      </c>
      <c r="H167" s="221" t="str">
        <f t="shared" si="23"/>
        <v>OK</v>
      </c>
      <c r="I167" s="222" t="str">
        <f t="shared" si="23"/>
        <v>OK</v>
      </c>
      <c r="J167" s="222" t="str">
        <f t="shared" si="23"/>
        <v>OK</v>
      </c>
      <c r="K167" s="222" t="str">
        <f t="shared" si="23"/>
        <v>OK</v>
      </c>
      <c r="L167" s="222" t="str">
        <f t="shared" si="23"/>
        <v>OK</v>
      </c>
      <c r="M167" s="222" t="str">
        <f t="shared" si="23"/>
        <v>OK</v>
      </c>
      <c r="O167" s="314"/>
      <c r="P167" s="265"/>
    </row>
    <row r="168" spans="1:16" ht="15.75" x14ac:dyDescent="0.25">
      <c r="A168" s="51" t="s">
        <v>611</v>
      </c>
      <c r="B168" s="68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O168" s="314"/>
      <c r="P168" s="265"/>
    </row>
    <row r="169" spans="1:16" x14ac:dyDescent="0.2">
      <c r="A169" s="68" t="s">
        <v>748</v>
      </c>
      <c r="B169" s="68"/>
      <c r="C169" s="177">
        <v>16.991</v>
      </c>
      <c r="D169" s="177">
        <v>20.536000000000001</v>
      </c>
      <c r="E169" s="177">
        <v>22.831</v>
      </c>
      <c r="F169" s="177">
        <v>23.097000000000001</v>
      </c>
      <c r="G169" s="177">
        <v>29.928000000000001</v>
      </c>
      <c r="H169" s="177">
        <v>26.062000000000001</v>
      </c>
      <c r="I169" s="107">
        <v>17.306999999999999</v>
      </c>
      <c r="J169" s="107">
        <v>20.152999999999999</v>
      </c>
      <c r="K169" s="107">
        <v>11.513999999999999</v>
      </c>
      <c r="L169" s="107">
        <v>14.262</v>
      </c>
      <c r="M169" s="107">
        <v>19.933</v>
      </c>
      <c r="O169" s="359" t="s">
        <v>704</v>
      </c>
    </row>
    <row r="170" spans="1:16" x14ac:dyDescent="0.2">
      <c r="A170" s="68" t="s">
        <v>749</v>
      </c>
      <c r="B170" s="68"/>
      <c r="C170" s="177">
        <v>17.718</v>
      </c>
      <c r="D170" s="177">
        <v>18.158999999999999</v>
      </c>
      <c r="E170" s="177">
        <v>22.372</v>
      </c>
      <c r="F170" s="177">
        <v>19.260000000000002</v>
      </c>
      <c r="G170" s="177">
        <v>17.908999999999999</v>
      </c>
      <c r="H170" s="177">
        <v>17.573</v>
      </c>
      <c r="I170" s="107">
        <v>18.332000000000001</v>
      </c>
      <c r="J170" s="107">
        <v>18.228000000000002</v>
      </c>
      <c r="K170" s="107">
        <v>17.731000000000002</v>
      </c>
      <c r="L170" s="107">
        <v>17.827000000000002</v>
      </c>
      <c r="M170" s="107">
        <v>18.018000000000001</v>
      </c>
      <c r="O170" s="359" t="s">
        <v>704</v>
      </c>
    </row>
    <row r="171" spans="1:16" x14ac:dyDescent="0.2">
      <c r="A171" s="68" t="s">
        <v>304</v>
      </c>
      <c r="B171" s="68"/>
      <c r="C171" s="177">
        <v>12.576000000000001</v>
      </c>
      <c r="D171" s="177">
        <v>13.791</v>
      </c>
      <c r="E171" s="177">
        <v>12.877000000000001</v>
      </c>
      <c r="F171" s="177">
        <v>15.552</v>
      </c>
      <c r="G171" s="177">
        <v>18.687000000000001</v>
      </c>
      <c r="H171" s="177">
        <v>18.815000000000001</v>
      </c>
      <c r="I171" s="107">
        <v>22.623999999999999</v>
      </c>
      <c r="J171" s="107">
        <v>23.890999999999998</v>
      </c>
      <c r="K171" s="107">
        <v>25.370999999999999</v>
      </c>
      <c r="L171" s="107">
        <v>27.143000000000001</v>
      </c>
      <c r="M171" s="107">
        <v>29.047000000000001</v>
      </c>
      <c r="O171" s="359" t="str">
        <f>$O$170</f>
        <v>Used in calculation of all components of CC 'Marketable securities, derivatives in gain and share investments'</v>
      </c>
    </row>
    <row r="172" spans="1:16" x14ac:dyDescent="0.2">
      <c r="A172" s="68" t="s">
        <v>305</v>
      </c>
      <c r="B172" s="68"/>
      <c r="C172" s="177">
        <v>15.003</v>
      </c>
      <c r="D172" s="177">
        <v>17.006</v>
      </c>
      <c r="E172" s="177">
        <v>17.399000000000001</v>
      </c>
      <c r="F172" s="177">
        <v>16.507999999999999</v>
      </c>
      <c r="G172" s="177">
        <v>19.116</v>
      </c>
      <c r="H172" s="177">
        <v>20.454999999999998</v>
      </c>
      <c r="I172" s="107">
        <v>20.547000000000001</v>
      </c>
      <c r="J172" s="107">
        <v>20.463999999999999</v>
      </c>
      <c r="K172" s="107">
        <v>20.448</v>
      </c>
      <c r="L172" s="107">
        <v>20.806000000000001</v>
      </c>
      <c r="M172" s="107">
        <v>21.378</v>
      </c>
      <c r="O172" s="359" t="str">
        <f>$O$170</f>
        <v>Used in calculation of all components of CC 'Marketable securities, derivatives in gain and share investments'</v>
      </c>
    </row>
    <row r="173" spans="1:16" x14ac:dyDescent="0.2">
      <c r="A173" s="68" t="s">
        <v>750</v>
      </c>
      <c r="B173" s="68"/>
      <c r="C173" s="190">
        <v>10.204000000000001</v>
      </c>
      <c r="D173" s="190">
        <v>9.5950000000000006</v>
      </c>
      <c r="E173" s="190">
        <v>9.8659999999999997</v>
      </c>
      <c r="F173" s="190">
        <v>8.4369999999999994</v>
      </c>
      <c r="G173" s="190">
        <v>9.1649999999999991</v>
      </c>
      <c r="H173" s="190">
        <v>7.9240000000000004</v>
      </c>
      <c r="I173" s="109">
        <v>7.194</v>
      </c>
      <c r="J173" s="109">
        <v>6.6909999999999998</v>
      </c>
      <c r="K173" s="109">
        <v>4.7060000000000004</v>
      </c>
      <c r="L173" s="109">
        <v>3.9710000000000001</v>
      </c>
      <c r="M173" s="109">
        <v>4.0369999999999999</v>
      </c>
      <c r="O173" s="359" t="str">
        <f>$O$170</f>
        <v>Used in calculation of all components of CC 'Marketable securities, derivatives in gain and share investments'</v>
      </c>
    </row>
    <row r="174" spans="1:16" x14ac:dyDescent="0.2">
      <c r="A174" s="68" t="s">
        <v>335</v>
      </c>
      <c r="B174" s="68"/>
      <c r="C174" s="190">
        <v>12.169</v>
      </c>
      <c r="D174" s="190">
        <v>12.958</v>
      </c>
      <c r="E174" s="190">
        <v>14.281000000000001</v>
      </c>
      <c r="F174" s="190">
        <v>16.975000000000001</v>
      </c>
      <c r="G174" s="190">
        <v>21.568999999999999</v>
      </c>
      <c r="H174" s="190">
        <v>25.34</v>
      </c>
      <c r="I174" s="109">
        <v>29.686</v>
      </c>
      <c r="J174" s="109">
        <v>32.161000000000001</v>
      </c>
      <c r="K174" s="109">
        <v>34.844000000000001</v>
      </c>
      <c r="L174" s="109">
        <v>37.673000000000002</v>
      </c>
      <c r="M174" s="109">
        <v>40.630000000000003</v>
      </c>
      <c r="O174" s="359" t="s">
        <v>705</v>
      </c>
    </row>
    <row r="175" spans="1:16" x14ac:dyDescent="0.2">
      <c r="A175" s="68" t="s">
        <v>336</v>
      </c>
      <c r="B175" s="68"/>
      <c r="C175" s="190">
        <v>5.484</v>
      </c>
      <c r="D175" s="190">
        <v>5.6150000000000002</v>
      </c>
      <c r="E175" s="190">
        <v>5.6390000000000002</v>
      </c>
      <c r="F175" s="190">
        <v>6.0030000000000001</v>
      </c>
      <c r="G175" s="190">
        <v>9.3049999999999997</v>
      </c>
      <c r="H175" s="190">
        <v>7.2519999999999998</v>
      </c>
      <c r="I175" s="109">
        <v>5.6870000000000003</v>
      </c>
      <c r="J175" s="109">
        <v>2.597</v>
      </c>
      <c r="K175" s="109">
        <v>0.38300000000000001</v>
      </c>
      <c r="L175" s="109">
        <v>5.8000000000000003E-2</v>
      </c>
      <c r="M175" s="109">
        <v>5.8999999999999997E-2</v>
      </c>
      <c r="O175" s="359" t="str">
        <f>$O$174</f>
        <v>Used in calculation of all components of TC 'Marketable securities, derivatives in gain and share investments'</v>
      </c>
    </row>
    <row r="176" spans="1:16" x14ac:dyDescent="0.2">
      <c r="A176" s="68" t="s">
        <v>612</v>
      </c>
      <c r="B176" s="68"/>
      <c r="C176" s="178">
        <v>6.2969999999999997</v>
      </c>
      <c r="D176" s="178">
        <v>6.8440000000000003</v>
      </c>
      <c r="E176" s="178">
        <v>6.9290000000000003</v>
      </c>
      <c r="F176" s="178">
        <v>6.8739999999999997</v>
      </c>
      <c r="G176" s="178">
        <v>8.8309999999999995</v>
      </c>
      <c r="H176" s="178">
        <v>11.167999999999999</v>
      </c>
      <c r="I176" s="107">
        <v>10.368</v>
      </c>
      <c r="J176" s="107">
        <v>9.7349999999999994</v>
      </c>
      <c r="K176" s="107">
        <v>8.5609999999999999</v>
      </c>
      <c r="L176" s="107">
        <v>6.859</v>
      </c>
      <c r="M176" s="107">
        <v>5.8339999999999996</v>
      </c>
      <c r="O176" s="359" t="str">
        <f>$O$174</f>
        <v>Used in calculation of all components of TC 'Marketable securities, derivatives in gain and share investments'</v>
      </c>
    </row>
    <row r="177" spans="1:32" x14ac:dyDescent="0.2">
      <c r="A177" s="68" t="s">
        <v>751</v>
      </c>
      <c r="B177" s="68"/>
      <c r="C177" s="178">
        <v>1.407</v>
      </c>
      <c r="D177" s="178">
        <v>1.5169999999999999</v>
      </c>
      <c r="E177" s="178">
        <v>1.5209999999999999</v>
      </c>
      <c r="F177" s="178">
        <v>1.716</v>
      </c>
      <c r="G177" s="178">
        <v>3.3140000000000001</v>
      </c>
      <c r="H177" s="178">
        <v>3.6850000000000001</v>
      </c>
      <c r="I177" s="107">
        <v>3.6349999999999998</v>
      </c>
      <c r="J177" s="107">
        <v>3.625</v>
      </c>
      <c r="K177" s="107">
        <v>3.3940000000000001</v>
      </c>
      <c r="L177" s="107">
        <v>2.8679999999999999</v>
      </c>
      <c r="M177" s="107">
        <v>2.907</v>
      </c>
      <c r="O177" s="359" t="str">
        <f>$O$174</f>
        <v>Used in calculation of all components of TC 'Marketable securities, derivatives in gain and share investments'</v>
      </c>
    </row>
    <row r="178" spans="1:32" x14ac:dyDescent="0.2">
      <c r="A178" s="68" t="s">
        <v>578</v>
      </c>
      <c r="B178" s="68"/>
      <c r="C178" s="178">
        <v>8.9420000000000002</v>
      </c>
      <c r="D178" s="178">
        <v>11.726000000000001</v>
      </c>
      <c r="E178" s="178">
        <v>14.702</v>
      </c>
      <c r="F178" s="178">
        <v>16.064</v>
      </c>
      <c r="G178" s="178">
        <v>20.241</v>
      </c>
      <c r="H178" s="178">
        <v>19.186</v>
      </c>
      <c r="I178" s="107">
        <v>20.684999999999999</v>
      </c>
      <c r="J178" s="107">
        <v>22.140999999999998</v>
      </c>
      <c r="K178" s="107">
        <v>24.268999999999998</v>
      </c>
      <c r="L178" s="107">
        <v>26.393999999999998</v>
      </c>
      <c r="M178" s="107">
        <v>28.954000000000001</v>
      </c>
      <c r="O178" s="359" t="str">
        <f>$O$174</f>
        <v>Used in calculation of all components of TC 'Marketable securities, derivatives in gain and share investments'</v>
      </c>
    </row>
    <row r="179" spans="1:32" x14ac:dyDescent="0.2">
      <c r="A179" s="68" t="s">
        <v>752</v>
      </c>
      <c r="B179" s="68"/>
      <c r="C179" s="178">
        <v>9.8490000000000002</v>
      </c>
      <c r="D179" s="178">
        <v>10.46</v>
      </c>
      <c r="E179" s="178">
        <v>12.284000000000001</v>
      </c>
      <c r="F179" s="178">
        <v>14.209</v>
      </c>
      <c r="G179" s="178">
        <v>17.745000000000001</v>
      </c>
      <c r="H179" s="178">
        <v>18.064</v>
      </c>
      <c r="I179" s="107">
        <v>18.286000000000001</v>
      </c>
      <c r="J179" s="107">
        <v>17.539000000000001</v>
      </c>
      <c r="K179" s="107">
        <v>17.510999999999999</v>
      </c>
      <c r="L179" s="107">
        <v>18.821999999999999</v>
      </c>
      <c r="M179" s="107">
        <v>20.13</v>
      </c>
      <c r="O179" s="359" t="str">
        <f>$O$174</f>
        <v>Used in calculation of all components of TC 'Marketable securities, derivatives in gain and share investments'</v>
      </c>
    </row>
    <row r="180" spans="1:32" ht="13.5" x14ac:dyDescent="0.25">
      <c r="A180" s="223" t="s">
        <v>613</v>
      </c>
      <c r="B180" s="68"/>
      <c r="C180" s="221" t="str">
        <f t="shared" ref="C180:M180" si="24">IF(ROUND(SUM(C$58:C$62)-SUM(C$169:C$172,-C$173,C$174:C$176,-C$177,C$178,-C$179),3)=0,"OK","ERROR")</f>
        <v>OK</v>
      </c>
      <c r="D180" s="221" t="str">
        <f t="shared" si="24"/>
        <v>OK</v>
      </c>
      <c r="E180" s="221" t="str">
        <f t="shared" si="24"/>
        <v>OK</v>
      </c>
      <c r="F180" s="221" t="str">
        <f t="shared" si="24"/>
        <v>OK</v>
      </c>
      <c r="G180" s="221" t="str">
        <f t="shared" si="24"/>
        <v>OK</v>
      </c>
      <c r="H180" s="221" t="str">
        <f t="shared" si="24"/>
        <v>OK</v>
      </c>
      <c r="I180" s="222" t="str">
        <f t="shared" si="24"/>
        <v>OK</v>
      </c>
      <c r="J180" s="222" t="str">
        <f t="shared" si="24"/>
        <v>OK</v>
      </c>
      <c r="K180" s="222" t="str">
        <f t="shared" si="24"/>
        <v>OK</v>
      </c>
      <c r="L180" s="222" t="str">
        <f t="shared" si="24"/>
        <v>OK</v>
      </c>
      <c r="M180" s="222" t="str">
        <f t="shared" si="24"/>
        <v>OK</v>
      </c>
      <c r="O180" s="314"/>
    </row>
    <row r="181" spans="1:32" ht="15.75" x14ac:dyDescent="0.25">
      <c r="A181" s="51" t="s">
        <v>411</v>
      </c>
      <c r="B181" s="51"/>
      <c r="C181" s="181"/>
      <c r="D181" s="181"/>
      <c r="E181" s="181"/>
      <c r="F181" s="181"/>
      <c r="G181" s="181"/>
      <c r="H181" s="181"/>
      <c r="I181" s="279"/>
      <c r="J181" s="279"/>
      <c r="K181" s="279"/>
      <c r="L181" s="279"/>
      <c r="M181" s="279"/>
      <c r="O181" s="314"/>
    </row>
    <row r="182" spans="1:32" x14ac:dyDescent="0.2">
      <c r="A182" s="50" t="s">
        <v>539</v>
      </c>
      <c r="B182" s="166"/>
      <c r="C182" s="177">
        <v>9.4130000000000003</v>
      </c>
      <c r="D182" s="177">
        <v>9.5730000000000004</v>
      </c>
      <c r="E182" s="177">
        <v>10.259</v>
      </c>
      <c r="F182" s="177">
        <v>11.145</v>
      </c>
      <c r="G182" s="177">
        <v>12.07</v>
      </c>
      <c r="H182" s="177">
        <v>12.968999999999999</v>
      </c>
      <c r="I182" s="107">
        <v>13.512</v>
      </c>
      <c r="J182" s="107">
        <v>14.144</v>
      </c>
      <c r="K182" s="107">
        <v>14.762</v>
      </c>
      <c r="L182" s="107">
        <v>15.388999999999999</v>
      </c>
      <c r="M182" s="107">
        <v>16.024000000000001</v>
      </c>
      <c r="O182" s="314" t="str">
        <f t="shared" ref="O182:O189" si="25">$O$3</f>
        <v>√</v>
      </c>
    </row>
    <row r="183" spans="1:32" x14ac:dyDescent="0.2">
      <c r="A183" s="220" t="s">
        <v>540</v>
      </c>
      <c r="B183" s="68"/>
      <c r="C183" s="177">
        <v>5.569</v>
      </c>
      <c r="D183" s="177">
        <v>6.0110000000000001</v>
      </c>
      <c r="E183" s="177">
        <v>6.7409999999999997</v>
      </c>
      <c r="F183" s="177">
        <v>6.5529999999999999</v>
      </c>
      <c r="G183" s="177">
        <v>6.79</v>
      </c>
      <c r="H183" s="177">
        <v>7.46</v>
      </c>
      <c r="I183" s="107">
        <v>8.2910000000000004</v>
      </c>
      <c r="J183" s="107">
        <v>8.5280000000000005</v>
      </c>
      <c r="K183" s="107">
        <v>8.9890000000000008</v>
      </c>
      <c r="L183" s="107">
        <v>9.4499999999999993</v>
      </c>
      <c r="M183" s="107">
        <v>9.9280000000000008</v>
      </c>
      <c r="O183" s="359" t="s">
        <v>707</v>
      </c>
    </row>
    <row r="184" spans="1:32" x14ac:dyDescent="0.2">
      <c r="A184" s="68" t="s">
        <v>616</v>
      </c>
      <c r="B184" s="68"/>
      <c r="C184" s="177">
        <v>1.1759999999999999</v>
      </c>
      <c r="D184" s="177">
        <v>1.2010000000000001</v>
      </c>
      <c r="E184" s="177">
        <v>1.35</v>
      </c>
      <c r="F184" s="177">
        <v>1.5249999999999999</v>
      </c>
      <c r="G184" s="177">
        <v>1.5640000000000001</v>
      </c>
      <c r="H184" s="177">
        <v>1.5860000000000001</v>
      </c>
      <c r="I184" s="107">
        <v>1.5529999999999999</v>
      </c>
      <c r="J184" s="107">
        <v>1.6319999999999999</v>
      </c>
      <c r="K184" s="107">
        <v>1.681</v>
      </c>
      <c r="L184" s="107">
        <v>1.7330000000000001</v>
      </c>
      <c r="M184" s="107">
        <v>1.802</v>
      </c>
      <c r="O184" s="314" t="str">
        <f t="shared" si="25"/>
        <v>√</v>
      </c>
    </row>
    <row r="185" spans="1:32" x14ac:dyDescent="0.2">
      <c r="A185" s="68" t="s">
        <v>541</v>
      </c>
      <c r="B185" s="68"/>
      <c r="C185" s="177">
        <v>0.48799999999999999</v>
      </c>
      <c r="D185" s="177">
        <v>0.48699999999999999</v>
      </c>
      <c r="E185" s="177">
        <v>0.53200000000000003</v>
      </c>
      <c r="F185" s="177">
        <v>0.72799999999999998</v>
      </c>
      <c r="G185" s="177">
        <v>0.71299999999999997</v>
      </c>
      <c r="H185" s="177">
        <v>0.70099999999999996</v>
      </c>
      <c r="I185" s="107">
        <v>0.52800000000000002</v>
      </c>
      <c r="J185" s="107">
        <v>0.53700000000000003</v>
      </c>
      <c r="K185" s="107">
        <v>0.55400000000000005</v>
      </c>
      <c r="L185" s="107">
        <v>0.56999999999999995</v>
      </c>
      <c r="M185" s="107">
        <v>0.59299999999999997</v>
      </c>
      <c r="O185" s="314" t="str">
        <f t="shared" si="25"/>
        <v>√</v>
      </c>
    </row>
    <row r="186" spans="1:32" x14ac:dyDescent="0.2">
      <c r="A186" s="68" t="s">
        <v>300</v>
      </c>
      <c r="B186" s="68"/>
      <c r="C186" s="177">
        <v>0.55500000000000005</v>
      </c>
      <c r="D186" s="177">
        <v>0.629</v>
      </c>
      <c r="E186" s="177">
        <v>0.71</v>
      </c>
      <c r="F186" s="177">
        <v>0.754</v>
      </c>
      <c r="G186" s="177">
        <v>0.80200000000000005</v>
      </c>
      <c r="H186" s="177">
        <v>0.877</v>
      </c>
      <c r="I186" s="107">
        <v>1.149</v>
      </c>
      <c r="J186" s="107">
        <v>1.135</v>
      </c>
      <c r="K186" s="107">
        <v>1.1990000000000001</v>
      </c>
      <c r="L186" s="107">
        <v>1.2490000000000001</v>
      </c>
      <c r="M186" s="107">
        <v>1.3140000000000001</v>
      </c>
      <c r="O186" s="314" t="str">
        <f t="shared" si="25"/>
        <v>√</v>
      </c>
    </row>
    <row r="187" spans="1:32" x14ac:dyDescent="0.2">
      <c r="A187" s="68" t="s">
        <v>301</v>
      </c>
      <c r="B187" s="68"/>
      <c r="C187" s="177">
        <v>0.36</v>
      </c>
      <c r="D187" s="177">
        <v>0.40699999999999997</v>
      </c>
      <c r="E187" s="177">
        <v>0.46500000000000002</v>
      </c>
      <c r="F187" s="177">
        <v>0.46300000000000002</v>
      </c>
      <c r="G187" s="177">
        <v>0.48399999999999999</v>
      </c>
      <c r="H187" s="177">
        <v>0.52600000000000002</v>
      </c>
      <c r="I187" s="107">
        <v>0.58099999999999996</v>
      </c>
      <c r="J187" s="107">
        <v>0.6</v>
      </c>
      <c r="K187" s="107">
        <v>0.63100000000000001</v>
      </c>
      <c r="L187" s="107">
        <v>0.66300000000000003</v>
      </c>
      <c r="M187" s="107">
        <v>0.69499999999999995</v>
      </c>
      <c r="O187" s="314" t="str">
        <f t="shared" si="25"/>
        <v>√</v>
      </c>
    </row>
    <row r="188" spans="1:32" x14ac:dyDescent="0.2">
      <c r="A188" s="68" t="s">
        <v>302</v>
      </c>
      <c r="B188" s="68"/>
      <c r="C188" s="177">
        <v>0.151</v>
      </c>
      <c r="D188" s="177">
        <v>-0.23100000000000001</v>
      </c>
      <c r="E188" s="177">
        <v>0.77900000000000003</v>
      </c>
      <c r="F188" s="177">
        <v>0.28000000000000003</v>
      </c>
      <c r="G188" s="177">
        <v>-0.125</v>
      </c>
      <c r="H188" s="177">
        <v>-0.28599999999999998</v>
      </c>
      <c r="I188" s="107">
        <v>0.23200000000000001</v>
      </c>
      <c r="J188" s="107">
        <v>0.11</v>
      </c>
      <c r="K188" s="107">
        <v>0.11</v>
      </c>
      <c r="L188" s="107">
        <v>0.11</v>
      </c>
      <c r="M188" s="107">
        <v>0.11</v>
      </c>
      <c r="O188" s="314" t="str">
        <f t="shared" si="25"/>
        <v>√</v>
      </c>
    </row>
    <row r="189" spans="1:32" x14ac:dyDescent="0.2">
      <c r="A189" s="68" t="s">
        <v>303</v>
      </c>
      <c r="B189" s="68"/>
      <c r="C189" s="177">
        <v>0.1</v>
      </c>
      <c r="D189" s="177">
        <v>7.0000000000000001E-3</v>
      </c>
      <c r="E189" s="177">
        <v>1.7999999999999999E-2</v>
      </c>
      <c r="F189" s="177">
        <v>1.0999999999999999E-2</v>
      </c>
      <c r="G189" s="177">
        <v>1.2E-2</v>
      </c>
      <c r="H189" s="177">
        <v>1.0999999999999999E-2</v>
      </c>
      <c r="I189" s="107">
        <v>1.2E-2</v>
      </c>
      <c r="J189" s="107">
        <v>1.0999999999999999E-2</v>
      </c>
      <c r="K189" s="107">
        <v>1.2E-2</v>
      </c>
      <c r="L189" s="107">
        <v>1.0999999999999999E-2</v>
      </c>
      <c r="M189" s="107">
        <v>0.01</v>
      </c>
      <c r="O189" s="314" t="str">
        <f t="shared" si="25"/>
        <v>√</v>
      </c>
    </row>
    <row r="190" spans="1:32" x14ac:dyDescent="0.2">
      <c r="A190" s="50" t="s">
        <v>617</v>
      </c>
      <c r="B190" s="49"/>
      <c r="C190" s="207">
        <v>6.0110000000000001</v>
      </c>
      <c r="D190" s="207">
        <v>6.7409999999999997</v>
      </c>
      <c r="E190" s="207">
        <v>6.5529999999999999</v>
      </c>
      <c r="F190" s="207">
        <v>6.79</v>
      </c>
      <c r="G190" s="207">
        <v>7.46</v>
      </c>
      <c r="H190" s="207">
        <v>8.2910000000000004</v>
      </c>
      <c r="I190" s="208">
        <v>8.5280000000000005</v>
      </c>
      <c r="J190" s="208">
        <v>8.9890000000000008</v>
      </c>
      <c r="K190" s="208">
        <v>9.4499999999999993</v>
      </c>
      <c r="L190" s="208">
        <v>9.9280000000000008</v>
      </c>
      <c r="M190" s="208">
        <v>10.417999999999999</v>
      </c>
      <c r="O190" s="359" t="s">
        <v>706</v>
      </c>
    </row>
    <row r="191" spans="1:32" ht="13.5" x14ac:dyDescent="0.25">
      <c r="A191" s="223" t="s">
        <v>618</v>
      </c>
      <c r="B191" s="166"/>
      <c r="C191" s="221" t="str">
        <f>IF(ROUND(C$190-(SUM(C$183:C$184,C$187,C$189)-SUM(C$185:C$186,C$188)),3)=0,"OK","ERROR")</f>
        <v>OK</v>
      </c>
      <c r="D191" s="221" t="str">
        <f t="shared" ref="D191:M191" si="26">IF(ROUND(D$190-(SUM(D$183:D$184,D$187,D$189)-SUM(D$185:D$186,D$188)),3)=0,"OK","ERROR")</f>
        <v>OK</v>
      </c>
      <c r="E191" s="221" t="str">
        <f t="shared" si="26"/>
        <v>OK</v>
      </c>
      <c r="F191" s="221" t="str">
        <f t="shared" si="26"/>
        <v>OK</v>
      </c>
      <c r="G191" s="221" t="str">
        <f t="shared" si="26"/>
        <v>OK</v>
      </c>
      <c r="H191" s="221" t="str">
        <f t="shared" si="26"/>
        <v>OK</v>
      </c>
      <c r="I191" s="222" t="str">
        <f t="shared" si="26"/>
        <v>OK</v>
      </c>
      <c r="J191" s="222" t="str">
        <f t="shared" si="26"/>
        <v>OK</v>
      </c>
      <c r="K191" s="222" t="str">
        <f t="shared" si="26"/>
        <v>OK</v>
      </c>
      <c r="L191" s="222" t="str">
        <f t="shared" si="26"/>
        <v>OK</v>
      </c>
      <c r="M191" s="222" t="str">
        <f t="shared" si="26"/>
        <v>OK</v>
      </c>
      <c r="O191" s="314"/>
    </row>
    <row r="192" spans="1:32" ht="15.75" x14ac:dyDescent="0.25">
      <c r="A192" s="51" t="s">
        <v>619</v>
      </c>
      <c r="B192" s="166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Z192" s="314"/>
      <c r="AF192" s="314"/>
    </row>
    <row r="193" spans="1:22" x14ac:dyDescent="0.2">
      <c r="A193" s="68" t="s">
        <v>542</v>
      </c>
      <c r="B193" s="166"/>
      <c r="C193" s="177">
        <v>0.436</v>
      </c>
      <c r="D193" s="177">
        <v>0.38500000000000001</v>
      </c>
      <c r="E193" s="177">
        <v>0.38300000000000001</v>
      </c>
      <c r="F193" s="177">
        <v>0.433</v>
      </c>
      <c r="G193" s="177">
        <v>0.51800000000000002</v>
      </c>
      <c r="H193" s="177">
        <v>0.53900000000000003</v>
      </c>
      <c r="I193" s="107">
        <v>0.64700000000000002</v>
      </c>
      <c r="J193" s="107">
        <v>0.77700000000000002</v>
      </c>
      <c r="K193" s="107">
        <v>0.80500000000000005</v>
      </c>
      <c r="L193" s="107">
        <v>0.86</v>
      </c>
      <c r="M193" s="107">
        <v>0.91800000000000004</v>
      </c>
      <c r="O193" s="314" t="str">
        <f t="shared" ref="O193:O199" si="27">$O$3</f>
        <v>√</v>
      </c>
    </row>
    <row r="194" spans="1:22" x14ac:dyDescent="0.2">
      <c r="A194" s="68" t="s">
        <v>543</v>
      </c>
      <c r="B194" s="166"/>
      <c r="C194" s="177">
        <v>-5.1999999999999998E-2</v>
      </c>
      <c r="D194" s="177">
        <v>3.4000000000000002E-2</v>
      </c>
      <c r="E194" s="177">
        <v>-0.32300000000000001</v>
      </c>
      <c r="F194" s="177">
        <v>0.502</v>
      </c>
      <c r="G194" s="177">
        <v>0.16900000000000001</v>
      </c>
      <c r="H194" s="177">
        <v>0.13200000000000001</v>
      </c>
      <c r="I194" s="107">
        <v>0.14599999999999999</v>
      </c>
      <c r="J194" s="107">
        <v>0.14799999999999999</v>
      </c>
      <c r="K194" s="107">
        <v>0.16</v>
      </c>
      <c r="L194" s="107">
        <v>0.17100000000000001</v>
      </c>
      <c r="M194" s="107">
        <v>0.185</v>
      </c>
      <c r="O194" s="314" t="str">
        <f t="shared" si="27"/>
        <v>√</v>
      </c>
    </row>
    <row r="195" spans="1:22" x14ac:dyDescent="0.2">
      <c r="A195" s="68" t="s">
        <v>544</v>
      </c>
      <c r="B195" s="166"/>
      <c r="C195" s="177">
        <v>0.70699999999999996</v>
      </c>
      <c r="D195" s="177">
        <v>0.23699999999999999</v>
      </c>
      <c r="E195" s="177">
        <v>4.0000000000000001E-3</v>
      </c>
      <c r="F195" s="177">
        <v>-2.7E-2</v>
      </c>
      <c r="G195" s="177">
        <v>0.872</v>
      </c>
      <c r="H195" s="177">
        <v>0.16</v>
      </c>
      <c r="I195" s="107">
        <v>0.89</v>
      </c>
      <c r="J195" s="107">
        <v>0.47799999999999998</v>
      </c>
      <c r="K195" s="107">
        <v>0.51100000000000001</v>
      </c>
      <c r="L195" s="107">
        <v>0.55100000000000005</v>
      </c>
      <c r="M195" s="107">
        <v>0.59399999999999997</v>
      </c>
      <c r="O195" s="314" t="str">
        <f t="shared" si="27"/>
        <v>√</v>
      </c>
    </row>
    <row r="196" spans="1:22" x14ac:dyDescent="0.2">
      <c r="A196" s="68" t="s">
        <v>545</v>
      </c>
      <c r="B196" s="166"/>
      <c r="C196" s="177">
        <v>1.3129999999999999</v>
      </c>
      <c r="D196" s="177">
        <v>-0.995</v>
      </c>
      <c r="E196" s="177">
        <v>-3.4950000000000001</v>
      </c>
      <c r="F196" s="177">
        <v>1.75</v>
      </c>
      <c r="G196" s="177">
        <v>3.5179999999999998</v>
      </c>
      <c r="H196" s="177">
        <v>-0.20399999999999999</v>
      </c>
      <c r="I196" s="107">
        <v>3.431</v>
      </c>
      <c r="J196" s="107">
        <v>1.3580000000000001</v>
      </c>
      <c r="K196" s="107">
        <v>1.466</v>
      </c>
      <c r="L196" s="107">
        <v>1.585</v>
      </c>
      <c r="M196" s="107">
        <v>1.718</v>
      </c>
      <c r="O196" s="314" t="str">
        <f t="shared" si="27"/>
        <v>√</v>
      </c>
    </row>
    <row r="197" spans="1:22" x14ac:dyDescent="0.2">
      <c r="A197" s="220" t="s">
        <v>310</v>
      </c>
      <c r="B197" s="166"/>
      <c r="C197" s="177">
        <v>9.8550000000000004</v>
      </c>
      <c r="D197" s="177">
        <v>12.973000000000001</v>
      </c>
      <c r="E197" s="177">
        <v>14.212</v>
      </c>
      <c r="F197" s="177">
        <v>13.688000000000001</v>
      </c>
      <c r="G197" s="177">
        <v>15.656000000000001</v>
      </c>
      <c r="H197" s="177">
        <v>18.652000000000001</v>
      </c>
      <c r="I197" s="107">
        <v>18.702999999999999</v>
      </c>
      <c r="J197" s="107">
        <v>21.751999999999999</v>
      </c>
      <c r="K197" s="107">
        <v>23.283000000000001</v>
      </c>
      <c r="L197" s="107">
        <v>24.917999999999999</v>
      </c>
      <c r="M197" s="107">
        <v>26.678999999999998</v>
      </c>
      <c r="O197" s="359" t="s">
        <v>708</v>
      </c>
    </row>
    <row r="198" spans="1:22" x14ac:dyDescent="0.2">
      <c r="A198" s="68" t="s">
        <v>311</v>
      </c>
      <c r="B198" s="166"/>
      <c r="C198" s="177">
        <v>2.0490000000000004</v>
      </c>
      <c r="D198" s="177">
        <v>2.1040000000000001</v>
      </c>
      <c r="E198" s="177">
        <v>2.2429999999999999</v>
      </c>
      <c r="F198" s="177">
        <v>0.25</v>
      </c>
      <c r="G198" s="177">
        <v>0</v>
      </c>
      <c r="H198" s="17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O198" s="314" t="str">
        <f t="shared" si="27"/>
        <v>√</v>
      </c>
    </row>
    <row r="199" spans="1:22" x14ac:dyDescent="0.2">
      <c r="A199" s="68" t="s">
        <v>546</v>
      </c>
      <c r="B199" s="166"/>
      <c r="C199" s="177">
        <v>-2.5000000000000001E-2</v>
      </c>
      <c r="D199" s="177">
        <v>1.6E-2</v>
      </c>
      <c r="E199" s="177">
        <v>2.5999999999999999E-2</v>
      </c>
      <c r="F199" s="177">
        <v>0.01</v>
      </c>
      <c r="G199" s="177">
        <v>1E-3</v>
      </c>
      <c r="H199" s="177">
        <v>8.0000000000000002E-3</v>
      </c>
      <c r="I199" s="107">
        <v>7.0000000000000001E-3</v>
      </c>
      <c r="J199" s="107">
        <v>2.1999999999999999E-2</v>
      </c>
      <c r="K199" s="107">
        <v>3.5000000000000003E-2</v>
      </c>
      <c r="L199" s="107">
        <v>3.7999999999999999E-2</v>
      </c>
      <c r="M199" s="107">
        <v>4.1000000000000002E-2</v>
      </c>
      <c r="O199" s="314" t="str">
        <f t="shared" si="27"/>
        <v>√</v>
      </c>
    </row>
    <row r="200" spans="1:22" x14ac:dyDescent="0.2">
      <c r="A200" s="50" t="s">
        <v>620</v>
      </c>
      <c r="B200" s="49"/>
      <c r="C200" s="207">
        <v>12.973000000000001</v>
      </c>
      <c r="D200" s="207">
        <v>14.212</v>
      </c>
      <c r="E200" s="207">
        <v>13.688000000000001</v>
      </c>
      <c r="F200" s="207">
        <v>15.656000000000001</v>
      </c>
      <c r="G200" s="207">
        <v>18.652000000000001</v>
      </c>
      <c r="H200" s="207">
        <v>18.702999999999999</v>
      </c>
      <c r="I200" s="208">
        <v>21.751999999999999</v>
      </c>
      <c r="J200" s="208">
        <v>23.283000000000001</v>
      </c>
      <c r="K200" s="208">
        <v>24.917999999999999</v>
      </c>
      <c r="L200" s="208">
        <v>26.678999999999998</v>
      </c>
      <c r="M200" s="208">
        <v>28.577000000000002</v>
      </c>
      <c r="O200" s="359" t="str">
        <f>$O$190</f>
        <v>Only used as check on next row</v>
      </c>
    </row>
    <row r="201" spans="1:22" ht="13.5" x14ac:dyDescent="0.25">
      <c r="A201" s="223" t="s">
        <v>621</v>
      </c>
      <c r="B201" s="49"/>
      <c r="C201" s="221" t="str">
        <f>IF(ROUND(C$200-(SUM(C$197,C$193,C$196,C$198,C$199)-SUM(C$194,C$195)),3)=0,"OK","ERROR")</f>
        <v>OK</v>
      </c>
      <c r="D201" s="221" t="str">
        <f t="shared" ref="D201:M201" si="28">IF(ROUND(D$200-(SUM(D$197,D$193,D$196,D$198,D$199)-SUM(D$194,D$195)),3)=0,"OK","ERROR")</f>
        <v>OK</v>
      </c>
      <c r="E201" s="221" t="str">
        <f t="shared" si="28"/>
        <v>OK</v>
      </c>
      <c r="F201" s="221" t="str">
        <f t="shared" si="28"/>
        <v>OK</v>
      </c>
      <c r="G201" s="221" t="str">
        <f t="shared" si="28"/>
        <v>OK</v>
      </c>
      <c r="H201" s="221" t="str">
        <f t="shared" si="28"/>
        <v>OK</v>
      </c>
      <c r="I201" s="222" t="str">
        <f t="shared" si="28"/>
        <v>OK</v>
      </c>
      <c r="J201" s="222" t="str">
        <f t="shared" si="28"/>
        <v>OK</v>
      </c>
      <c r="K201" s="222" t="str">
        <f t="shared" si="28"/>
        <v>OK</v>
      </c>
      <c r="L201" s="222" t="str">
        <f t="shared" si="28"/>
        <v>OK</v>
      </c>
      <c r="M201" s="222" t="str">
        <f t="shared" si="28"/>
        <v>OK</v>
      </c>
      <c r="O201" s="314"/>
    </row>
    <row r="202" spans="1:22" x14ac:dyDescent="0.2">
      <c r="A202" s="220" t="s">
        <v>622</v>
      </c>
      <c r="B202" s="49"/>
      <c r="C202" s="177">
        <v>0.11899999999999999</v>
      </c>
      <c r="D202" s="177">
        <v>9.7000000000000003E-2</v>
      </c>
      <c r="E202" s="177">
        <v>7.6999999999999999E-2</v>
      </c>
      <c r="F202" s="177">
        <v>8.1000000000000003E-2</v>
      </c>
      <c r="G202" s="177">
        <v>0.111</v>
      </c>
      <c r="H202" s="177">
        <v>7.6999999999999999E-2</v>
      </c>
      <c r="I202" s="107">
        <v>0.109</v>
      </c>
      <c r="J202" s="107">
        <v>0.108</v>
      </c>
      <c r="K202" s="107">
        <v>0.12</v>
      </c>
      <c r="L202" s="107">
        <v>0.13</v>
      </c>
      <c r="M202" s="107">
        <v>0.14199999999999999</v>
      </c>
      <c r="O202" s="314" t="str">
        <f>$O$3</f>
        <v>√</v>
      </c>
    </row>
    <row r="203" spans="1:22" ht="15.75" x14ac:dyDescent="0.25">
      <c r="A203" s="51" t="s">
        <v>808</v>
      </c>
      <c r="B203" s="4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O203" s="314"/>
    </row>
    <row r="204" spans="1:22" x14ac:dyDescent="0.2">
      <c r="A204" s="220" t="s">
        <v>809</v>
      </c>
      <c r="B204" s="68"/>
      <c r="C204" s="177">
        <v>0</v>
      </c>
      <c r="D204" s="177">
        <v>0</v>
      </c>
      <c r="E204" s="177">
        <v>0</v>
      </c>
      <c r="F204" s="177">
        <v>0.22</v>
      </c>
      <c r="G204" s="177">
        <v>0.36799999999999999</v>
      </c>
      <c r="H204" s="177">
        <v>0.25600000000000001</v>
      </c>
      <c r="I204" s="107">
        <v>0.25911000000000001</v>
      </c>
      <c r="J204" s="107">
        <v>0.25911000000000001</v>
      </c>
      <c r="K204" s="107">
        <v>0.25911000000000001</v>
      </c>
      <c r="L204" s="107">
        <v>0.25911000000000001</v>
      </c>
      <c r="M204" s="107">
        <v>0.25911000000000001</v>
      </c>
      <c r="O204" s="314" t="str">
        <f>$O$3</f>
        <v>√</v>
      </c>
      <c r="R204" s="265"/>
      <c r="S204" s="265"/>
      <c r="T204" s="265"/>
      <c r="U204" s="265"/>
      <c r="V204" s="265"/>
    </row>
    <row r="205" spans="1:22" ht="15.75" x14ac:dyDescent="0.25">
      <c r="A205" s="51" t="s">
        <v>656</v>
      </c>
      <c r="B205" s="166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O205" s="314"/>
    </row>
    <row r="206" spans="1:22" x14ac:dyDescent="0.2">
      <c r="A206" s="220" t="s">
        <v>657</v>
      </c>
      <c r="B206" s="166"/>
      <c r="C206" s="229">
        <v>17.327999999999999</v>
      </c>
      <c r="D206" s="229">
        <v>20.373999999999999</v>
      </c>
      <c r="E206" s="229">
        <v>26.446000000000002</v>
      </c>
      <c r="F206" s="229">
        <v>26.997</v>
      </c>
      <c r="G206" s="229">
        <v>26.939</v>
      </c>
      <c r="H206" s="229">
        <v>30.648</v>
      </c>
      <c r="I206" s="107">
        <v>30.766999999999999</v>
      </c>
      <c r="J206" s="107">
        <v>31.422999999999998</v>
      </c>
      <c r="K206" s="107">
        <v>31.998999999999999</v>
      </c>
      <c r="L206" s="107">
        <v>32.732999999999997</v>
      </c>
      <c r="M206" s="107">
        <v>33.616999999999997</v>
      </c>
      <c r="O206" s="359" t="s">
        <v>709</v>
      </c>
    </row>
    <row r="207" spans="1:22" x14ac:dyDescent="0.2">
      <c r="A207" s="220" t="s">
        <v>658</v>
      </c>
      <c r="B207" s="166"/>
      <c r="C207" s="177">
        <v>6.8000000000000005E-2</v>
      </c>
      <c r="D207" s="177">
        <v>9.7000000000000003E-2</v>
      </c>
      <c r="E207" s="177">
        <v>8.6999999999999994E-2</v>
      </c>
      <c r="F207" s="177">
        <v>8.7999999999999995E-2</v>
      </c>
      <c r="G207" s="177">
        <v>10.57</v>
      </c>
      <c r="H207" s="177">
        <v>8.8770000000000007</v>
      </c>
      <c r="I207" s="107">
        <v>7.1139999999999999</v>
      </c>
      <c r="J207" s="107">
        <v>3.7429999999999999</v>
      </c>
      <c r="K207" s="107">
        <v>1.169</v>
      </c>
      <c r="L207" s="107">
        <v>0.16400000000000001</v>
      </c>
      <c r="M207" s="107">
        <v>0.16600000000000001</v>
      </c>
      <c r="O207" s="359" t="str">
        <f>$O$206</f>
        <v>Used in 'Insurance liabilities (dominated by ACC)' total</v>
      </c>
    </row>
    <row r="208" spans="1:22" x14ac:dyDescent="0.2">
      <c r="A208" s="220" t="s">
        <v>659</v>
      </c>
      <c r="B208" s="166"/>
      <c r="C208" s="177">
        <v>2.1999999999999999E-2</v>
      </c>
      <c r="D208" s="177">
        <v>1.2999999999999999E-2</v>
      </c>
      <c r="E208" s="177">
        <v>3.4000000000000002E-2</v>
      </c>
      <c r="F208" s="177">
        <v>4.5999999999999999E-2</v>
      </c>
      <c r="G208" s="177">
        <f>2.082+0.059-0.336</f>
        <v>1.8049999999999999</v>
      </c>
      <c r="H208" s="177">
        <v>1.661</v>
      </c>
      <c r="I208" s="107">
        <v>1.036</v>
      </c>
      <c r="J208" s="107">
        <v>0.73599999999999999</v>
      </c>
      <c r="K208" s="107">
        <v>0.48699999999999999</v>
      </c>
      <c r="L208" s="107">
        <v>0.63600000000000001</v>
      </c>
      <c r="M208" s="107">
        <v>0.61799999999999999</v>
      </c>
      <c r="O208" s="359" t="s">
        <v>710</v>
      </c>
    </row>
    <row r="209" spans="1:28" ht="13.5" x14ac:dyDescent="0.25">
      <c r="A209" s="223" t="s">
        <v>660</v>
      </c>
      <c r="B209" s="166"/>
      <c r="C209" s="221" t="str">
        <f t="shared" ref="C209:M209" si="29">IF(ROUND(C$75-(SUM(C$206:C$208)),3)=0,"OK","ERROR")</f>
        <v>OK</v>
      </c>
      <c r="D209" s="221" t="str">
        <f t="shared" si="29"/>
        <v>OK</v>
      </c>
      <c r="E209" s="221" t="str">
        <f t="shared" si="29"/>
        <v>OK</v>
      </c>
      <c r="F209" s="221" t="str">
        <f t="shared" si="29"/>
        <v>OK</v>
      </c>
      <c r="G209" s="221" t="str">
        <f t="shared" si="29"/>
        <v>OK</v>
      </c>
      <c r="H209" s="221" t="str">
        <f t="shared" si="29"/>
        <v>OK</v>
      </c>
      <c r="I209" s="222" t="str">
        <f t="shared" si="29"/>
        <v>OK</v>
      </c>
      <c r="J209" s="222" t="str">
        <f t="shared" si="29"/>
        <v>OK</v>
      </c>
      <c r="K209" s="222" t="str">
        <f t="shared" si="29"/>
        <v>OK</v>
      </c>
      <c r="L209" s="222" t="str">
        <f t="shared" si="29"/>
        <v>OK</v>
      </c>
      <c r="M209" s="222" t="str">
        <f t="shared" si="29"/>
        <v>OK</v>
      </c>
      <c r="O209" s="314"/>
    </row>
    <row r="210" spans="1:28" ht="15.75" x14ac:dyDescent="0.25">
      <c r="A210" s="51" t="s">
        <v>547</v>
      </c>
      <c r="B210" s="166"/>
      <c r="C210" s="181"/>
      <c r="D210" s="181"/>
      <c r="E210" s="181"/>
      <c r="F210" s="181"/>
      <c r="G210" s="181"/>
      <c r="H210" s="181"/>
      <c r="I210" s="279"/>
      <c r="J210" s="279"/>
      <c r="K210" s="279"/>
      <c r="L210" s="279"/>
      <c r="M210" s="279"/>
      <c r="O210" s="314"/>
    </row>
    <row r="211" spans="1:28" x14ac:dyDescent="0.2">
      <c r="A211" s="220" t="s">
        <v>112</v>
      </c>
      <c r="B211" s="166"/>
      <c r="C211" s="177">
        <v>0.70399999999999996</v>
      </c>
      <c r="D211" s="177">
        <v>0.56200000000000006</v>
      </c>
      <c r="E211" s="177">
        <v>-0.20699999999999999</v>
      </c>
      <c r="F211" s="177">
        <v>-0.21199999999999999</v>
      </c>
      <c r="G211" s="177">
        <v>-0.29099999999999998</v>
      </c>
      <c r="H211" s="177">
        <v>-0.20200000000000001</v>
      </c>
      <c r="I211" s="107">
        <v>-3.0000000000000001E-3</v>
      </c>
      <c r="J211" s="107">
        <v>-3.0000000000000001E-3</v>
      </c>
      <c r="K211" s="107">
        <v>-3.0000000000000001E-3</v>
      </c>
      <c r="L211" s="107">
        <v>-3.0000000000000001E-3</v>
      </c>
      <c r="M211" s="107">
        <v>-3.0000000000000001E-3</v>
      </c>
      <c r="O211" s="314" t="str">
        <f>$O$3</f>
        <v>√</v>
      </c>
    </row>
    <row r="212" spans="1:28" x14ac:dyDescent="0.2">
      <c r="A212" s="220" t="s">
        <v>639</v>
      </c>
      <c r="B212" s="166"/>
      <c r="C212" s="177">
        <v>0</v>
      </c>
      <c r="D212" s="177">
        <v>0</v>
      </c>
      <c r="E212" s="177">
        <v>1.7000000000000001E-2</v>
      </c>
      <c r="F212" s="177">
        <v>7.3999999999999996E-2</v>
      </c>
      <c r="G212" s="177">
        <v>0.61199999999999999</v>
      </c>
      <c r="H212" s="177">
        <v>0.375</v>
      </c>
      <c r="I212" s="107">
        <v>1E-3</v>
      </c>
      <c r="J212" s="107">
        <v>0</v>
      </c>
      <c r="K212" s="107">
        <v>-1E-3</v>
      </c>
      <c r="L212" s="107">
        <v>-2E-3</v>
      </c>
      <c r="M212" s="107">
        <v>-3.0000000000000001E-3</v>
      </c>
      <c r="O212" s="314" t="str">
        <f>$O$3</f>
        <v>√</v>
      </c>
    </row>
    <row r="213" spans="1:28" x14ac:dyDescent="0.2">
      <c r="A213" s="220" t="s">
        <v>640</v>
      </c>
      <c r="B213" s="166"/>
      <c r="C213" s="177">
        <v>0</v>
      </c>
      <c r="D213" s="177">
        <v>0</v>
      </c>
      <c r="E213" s="177">
        <v>0</v>
      </c>
      <c r="F213" s="177">
        <v>2.3E-2</v>
      </c>
      <c r="G213" s="177">
        <v>0.32200000000000001</v>
      </c>
      <c r="H213" s="177">
        <f>0.064+0.507</f>
        <v>0.57099999999999995</v>
      </c>
      <c r="I213" s="107">
        <v>0.38200000000000001</v>
      </c>
      <c r="J213" s="107">
        <v>5.0000000000000001E-3</v>
      </c>
      <c r="K213" s="107">
        <v>5.0000000000000001E-3</v>
      </c>
      <c r="L213" s="107">
        <v>5.0000000000000001E-3</v>
      </c>
      <c r="M213" s="107">
        <v>5.0000000000000001E-3</v>
      </c>
      <c r="O213" s="314" t="str">
        <f>$O$3</f>
        <v>√</v>
      </c>
    </row>
    <row r="214" spans="1:28" x14ac:dyDescent="0.2">
      <c r="A214" s="220" t="s">
        <v>641</v>
      </c>
      <c r="B214" s="166"/>
      <c r="C214" s="177">
        <v>0</v>
      </c>
      <c r="D214" s="177">
        <v>0</v>
      </c>
      <c r="E214" s="177">
        <v>1.7000000000000001E-2</v>
      </c>
      <c r="F214" s="177">
        <v>0.08</v>
      </c>
      <c r="G214" s="177">
        <v>0.86</v>
      </c>
      <c r="H214" s="177">
        <v>0.33400000000000002</v>
      </c>
      <c r="I214" s="107">
        <v>8.0000000000000002E-3</v>
      </c>
      <c r="J214" s="107">
        <v>4.0000000000000001E-3</v>
      </c>
      <c r="K214" s="107">
        <v>4.0000000000000001E-3</v>
      </c>
      <c r="L214" s="107">
        <v>4.0000000000000001E-3</v>
      </c>
      <c r="M214" s="107">
        <v>4.0000000000000001E-3</v>
      </c>
      <c r="O214" s="314" t="str">
        <f>$O$3</f>
        <v>√</v>
      </c>
    </row>
    <row r="215" spans="1:28" ht="13.5" x14ac:dyDescent="0.25">
      <c r="A215" s="223" t="s">
        <v>712</v>
      </c>
      <c r="B215" s="166"/>
      <c r="C215" s="221" t="str">
        <f>IF(ROUND(C$212-(SUM($C$214:C$214)-SUM($C$213:C$213)),3)=0,"OK","ERROR")</f>
        <v>OK</v>
      </c>
      <c r="D215" s="221" t="str">
        <f>IF(ROUND(D$212-(SUM($C$214:D$214)-SUM($C$213:D$213)),3)=0,"OK","ERROR")</f>
        <v>OK</v>
      </c>
      <c r="E215" s="221" t="str">
        <f>IF(ROUND(E$212-(SUM($C$214:E$214)-SUM($C$213:E$213)),3)=0,"OK","ERROR")</f>
        <v>OK</v>
      </c>
      <c r="F215" s="221" t="str">
        <f>IF(ROUND(F$212-(SUM($C$214:F$214)-SUM($C$213:F$213)),3)=0,"OK","ERROR")</f>
        <v>OK</v>
      </c>
      <c r="G215" s="221" t="str">
        <f>IF(ROUND(G$212-(SUM($C$214:G$214)-SUM($C$213:G$213)),3)=0,"OK","ERROR")</f>
        <v>OK</v>
      </c>
      <c r="H215" s="221" t="str">
        <f>IF(ROUND(H$212-(SUM($C$214:H$214)-SUM($C$213:H$213)),3)=0,"OK","ERROR")</f>
        <v>OK</v>
      </c>
      <c r="I215" s="222" t="str">
        <f>IF(ROUND(I$212-(SUM($C$214:I$214)-SUM($C$213:I$213)),3)=0,"OK","ERROR")</f>
        <v>OK</v>
      </c>
      <c r="J215" s="222" t="str">
        <f>IF(ROUND(J$212-(SUM($C$214:J$214)-SUM($C$213:J$213)),3)=0,"OK","ERROR")</f>
        <v>OK</v>
      </c>
      <c r="K215" s="222" t="str">
        <f>IF(ROUND(K$212-(SUM($C$214:K$214)-SUM($C$213:K$213)),3)=0,"OK","ERROR")</f>
        <v>OK</v>
      </c>
      <c r="L215" s="222" t="str">
        <f>IF(ROUND(L$212-(SUM($C$214:L$214)-SUM($C$213:L$213)),3)=0,"OK","ERROR")</f>
        <v>OK</v>
      </c>
      <c r="M215" s="222" t="str">
        <f>IF(ROUND(M$212-(SUM($C$214:M$214)-SUM($C$213:M$213)),3)=0,"OK","ERROR")</f>
        <v>OK</v>
      </c>
      <c r="O215" s="314"/>
    </row>
    <row r="216" spans="1:28" ht="15.75" x14ac:dyDescent="0.25">
      <c r="A216" s="51" t="s">
        <v>607</v>
      </c>
      <c r="B216" s="49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</row>
    <row r="217" spans="1:28" x14ac:dyDescent="0.2">
      <c r="A217" s="68" t="s">
        <v>290</v>
      </c>
      <c r="B217" s="49"/>
      <c r="C217" s="177">
        <v>26.291</v>
      </c>
      <c r="D217" s="177">
        <f>32.108+0.001</f>
        <v>32.108999999999995</v>
      </c>
      <c r="E217" s="177">
        <v>36.088999999999999</v>
      </c>
      <c r="F217" s="177">
        <f>35.376+0.001</f>
        <v>35.376999999999995</v>
      </c>
      <c r="G217" s="177">
        <v>39.686</v>
      </c>
      <c r="H217" s="177">
        <v>37.33</v>
      </c>
      <c r="I217" s="107">
        <v>29.091000000000001</v>
      </c>
      <c r="J217" s="107">
        <v>32.222000000000001</v>
      </c>
      <c r="K217" s="107">
        <v>25.194000000000003</v>
      </c>
      <c r="L217" s="107">
        <v>29.195</v>
      </c>
      <c r="M217" s="107">
        <v>36.168999999999997</v>
      </c>
      <c r="O217" s="361" t="s">
        <v>713</v>
      </c>
    </row>
    <row r="218" spans="1:28" x14ac:dyDescent="0.2">
      <c r="A218" s="68" t="s">
        <v>291</v>
      </c>
      <c r="B218" s="49"/>
      <c r="C218" s="177">
        <v>7.9989999999999997</v>
      </c>
      <c r="D218" s="177">
        <v>7.34</v>
      </c>
      <c r="E218" s="177">
        <v>5.4770000000000003</v>
      </c>
      <c r="F218" s="177">
        <v>5.7679999999999998</v>
      </c>
      <c r="G218" s="177">
        <v>6.8789999999999996</v>
      </c>
      <c r="H218" s="177">
        <v>6.3410000000000002</v>
      </c>
      <c r="I218" s="107">
        <v>6.65</v>
      </c>
      <c r="J218" s="107">
        <v>7.1989999999999998</v>
      </c>
      <c r="K218" s="107">
        <v>7.7859999999999996</v>
      </c>
      <c r="L218" s="107">
        <v>8.4169999999999998</v>
      </c>
      <c r="M218" s="107">
        <v>9.0960000000000001</v>
      </c>
      <c r="O218" s="265" t="str">
        <f>$O$217</f>
        <v>Only used as check on 'Other financial assets' in 'Forecast Statement of Segments'</v>
      </c>
    </row>
    <row r="219" spans="1:28" ht="13.5" x14ac:dyDescent="0.25">
      <c r="A219" s="223" t="s">
        <v>608</v>
      </c>
      <c r="B219" s="68"/>
      <c r="C219" s="221" t="str">
        <f t="shared" ref="C219:M219" si="30">IF(ROUND(C$112-SUM(C$92,C$204)-SUM(C$217:C$218),3)=0,"OK","ERROR")</f>
        <v>OK</v>
      </c>
      <c r="D219" s="221" t="str">
        <f t="shared" si="30"/>
        <v>OK</v>
      </c>
      <c r="E219" s="221" t="str">
        <f t="shared" si="30"/>
        <v>OK</v>
      </c>
      <c r="F219" s="221" t="str">
        <f t="shared" si="30"/>
        <v>OK</v>
      </c>
      <c r="G219" s="221" t="str">
        <f t="shared" si="30"/>
        <v>OK</v>
      </c>
      <c r="H219" s="221" t="str">
        <f t="shared" si="30"/>
        <v>OK</v>
      </c>
      <c r="I219" s="222" t="str">
        <f t="shared" si="30"/>
        <v>OK</v>
      </c>
      <c r="J219" s="222" t="str">
        <f t="shared" si="30"/>
        <v>OK</v>
      </c>
      <c r="K219" s="222" t="str">
        <f t="shared" si="30"/>
        <v>OK</v>
      </c>
      <c r="L219" s="222" t="str">
        <f t="shared" si="30"/>
        <v>OK</v>
      </c>
      <c r="M219" s="222" t="str">
        <f t="shared" si="30"/>
        <v>OK</v>
      </c>
    </row>
    <row r="220" spans="1:28" x14ac:dyDescent="0.2">
      <c r="A220" s="49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AB220" s="49"/>
    </row>
    <row r="221" spans="1:28" ht="15.75" x14ac:dyDescent="0.25">
      <c r="A221" s="48" t="s">
        <v>601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AB221" s="49"/>
    </row>
    <row r="222" spans="1:28" x14ac:dyDescent="0.2">
      <c r="A222" s="68" t="s">
        <v>146</v>
      </c>
      <c r="B222" s="68"/>
      <c r="C222" s="191">
        <v>645.82000000000005</v>
      </c>
      <c r="D222" s="191">
        <v>664.02</v>
      </c>
      <c r="E222" s="191">
        <v>723.19</v>
      </c>
      <c r="F222" s="191">
        <v>741.53</v>
      </c>
      <c r="G222" s="191">
        <v>792.36</v>
      </c>
      <c r="H222" s="191">
        <v>813.32</v>
      </c>
      <c r="I222" s="110">
        <v>833.14</v>
      </c>
      <c r="J222" s="110">
        <v>852.07</v>
      </c>
      <c r="K222" s="110">
        <v>864.42</v>
      </c>
      <c r="L222" s="110">
        <v>882.36</v>
      </c>
      <c r="M222" s="110">
        <v>906.25</v>
      </c>
      <c r="O222" s="314" t="s">
        <v>551</v>
      </c>
      <c r="AB222" s="49"/>
    </row>
    <row r="223" spans="1:28" x14ac:dyDescent="0.2">
      <c r="A223" s="68" t="s">
        <v>148</v>
      </c>
      <c r="B223" s="68"/>
      <c r="C223" s="191">
        <v>213.12</v>
      </c>
      <c r="D223" s="191">
        <v>219.9</v>
      </c>
      <c r="E223" s="191">
        <v>239.19</v>
      </c>
      <c r="F223" s="191">
        <v>244.71</v>
      </c>
      <c r="G223" s="191">
        <v>261.48</v>
      </c>
      <c r="H223" s="191">
        <v>268.39999999999998</v>
      </c>
      <c r="I223" s="110">
        <v>274.94</v>
      </c>
      <c r="J223" s="110">
        <v>281.18</v>
      </c>
      <c r="K223" s="110">
        <v>285.95999999999998</v>
      </c>
      <c r="L223" s="110">
        <v>291.18</v>
      </c>
      <c r="M223" s="110">
        <v>299.06</v>
      </c>
      <c r="O223" s="314" t="s">
        <v>551</v>
      </c>
      <c r="AB223" s="49"/>
    </row>
    <row r="224" spans="1:28" x14ac:dyDescent="0.2">
      <c r="A224" s="68" t="s">
        <v>869</v>
      </c>
      <c r="B224" s="68"/>
      <c r="C224" s="191">
        <v>255.7</v>
      </c>
      <c r="D224" s="191">
        <v>264.37</v>
      </c>
      <c r="E224" s="191">
        <v>273.63</v>
      </c>
      <c r="F224" s="191">
        <v>280.62</v>
      </c>
      <c r="G224" s="191">
        <v>294.08</v>
      </c>
      <c r="H224" s="191">
        <v>302.39999999999998</v>
      </c>
      <c r="I224" s="110">
        <v>310.33999999999997</v>
      </c>
      <c r="J224" s="110">
        <v>317.8</v>
      </c>
      <c r="K224" s="110">
        <v>323.63</v>
      </c>
      <c r="L224" s="110">
        <v>330.08</v>
      </c>
      <c r="M224" s="110">
        <v>339.53</v>
      </c>
      <c r="O224" s="314" t="s">
        <v>551</v>
      </c>
      <c r="AB224" s="49"/>
    </row>
    <row r="225" spans="1:28" x14ac:dyDescent="0.2">
      <c r="A225" s="68" t="s">
        <v>861</v>
      </c>
      <c r="C225" s="192">
        <v>5.5419999999999998</v>
      </c>
      <c r="D225" s="192">
        <v>5.9660000000000002</v>
      </c>
      <c r="E225" s="192">
        <v>6.4550000000000001</v>
      </c>
      <c r="F225" s="192">
        <v>6.9630000000000001</v>
      </c>
      <c r="G225" s="192">
        <v>7.5609999999999999</v>
      </c>
      <c r="H225" s="192">
        <v>8.2379999999999995</v>
      </c>
      <c r="I225" s="111">
        <v>8.7739999999999991</v>
      </c>
      <c r="J225" s="111">
        <v>9.3119999999999994</v>
      </c>
      <c r="K225" s="111">
        <v>9.8010000000000002</v>
      </c>
      <c r="L225" s="111">
        <v>10.301</v>
      </c>
      <c r="M225" s="111">
        <v>10.804</v>
      </c>
      <c r="Q225" s="360" t="s">
        <v>821</v>
      </c>
      <c r="AB225" s="49"/>
    </row>
    <row r="226" spans="1:28" ht="15.75" x14ac:dyDescent="0.25">
      <c r="A226" s="48" t="s">
        <v>241</v>
      </c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O226" s="362"/>
      <c r="P226" s="363" t="str">
        <f>CONCATENATE(MID(M$2,1,2),"/",MID(M$2,1,2)+1)</f>
        <v>16/17</v>
      </c>
      <c r="Q226" s="364" t="str">
        <f>CONCATENATE(MID(P$226,1,2)+1,"/",MID(P$226,1,2)+2)</f>
        <v>17/18</v>
      </c>
      <c r="R226" s="364" t="str">
        <f>CONCATENATE(MID(Q$226,1,2)+1,"/",MID(Q$226,1,2)+2)</f>
        <v>18/19</v>
      </c>
      <c r="S226" s="364"/>
      <c r="AB226" s="49"/>
    </row>
    <row r="227" spans="1:28" x14ac:dyDescent="0.2">
      <c r="A227" s="49" t="s">
        <v>155</v>
      </c>
      <c r="B227" s="49"/>
      <c r="C227" s="391">
        <v>138.547</v>
      </c>
      <c r="D227" s="391">
        <v>141.029</v>
      </c>
      <c r="E227" s="391">
        <v>137.75800000000001</v>
      </c>
      <c r="F227" s="391">
        <v>139.03299999999999</v>
      </c>
      <c r="G227" s="391">
        <v>140.298</v>
      </c>
      <c r="H227" s="391">
        <v>143.661</v>
      </c>
      <c r="I227" s="392">
        <v>147.26900000000001</v>
      </c>
      <c r="J227" s="392">
        <v>150.965</v>
      </c>
      <c r="K227" s="392">
        <v>155.36500000000001</v>
      </c>
      <c r="L227" s="392">
        <v>159.32400000000001</v>
      </c>
      <c r="M227" s="392">
        <v>162.82300000000001</v>
      </c>
      <c r="O227" s="314" t="s">
        <v>551</v>
      </c>
      <c r="P227" s="397">
        <f>M$227</f>
        <v>162.82300000000001</v>
      </c>
      <c r="Q227" s="398">
        <f>ROUND(P$227*1.024,3)</f>
        <v>166.73099999999999</v>
      </c>
      <c r="R227" s="398">
        <f>ROUND(Q$227*1.0245,3)</f>
        <v>170.816</v>
      </c>
      <c r="S227" s="398"/>
      <c r="AB227" s="49"/>
    </row>
    <row r="228" spans="1:28" x14ac:dyDescent="0.2">
      <c r="A228" s="49" t="s">
        <v>119</v>
      </c>
      <c r="B228" s="49"/>
      <c r="C228" s="391">
        <v>173.214</v>
      </c>
      <c r="D228" s="391">
        <v>185.678</v>
      </c>
      <c r="E228" s="391">
        <v>185.48699999999999</v>
      </c>
      <c r="F228" s="391">
        <v>191.798</v>
      </c>
      <c r="G228" s="391">
        <v>200.23400000000001</v>
      </c>
      <c r="H228" s="391">
        <v>208.46700000000001</v>
      </c>
      <c r="I228" s="392">
        <v>213.84399999999999</v>
      </c>
      <c r="J228" s="392">
        <v>227.892</v>
      </c>
      <c r="K228" s="392">
        <v>237.95400000000001</v>
      </c>
      <c r="L228" s="392">
        <v>248.00399999999999</v>
      </c>
      <c r="M228" s="392">
        <v>257.21899999999999</v>
      </c>
      <c r="O228" s="314" t="s">
        <v>551</v>
      </c>
      <c r="AB228" s="49"/>
    </row>
    <row r="229" spans="1:28" x14ac:dyDescent="0.2">
      <c r="A229" s="49" t="s">
        <v>952</v>
      </c>
      <c r="B229" s="193">
        <v>1000</v>
      </c>
      <c r="C229" s="193">
        <v>1020</v>
      </c>
      <c r="D229" s="193">
        <v>1061</v>
      </c>
      <c r="E229" s="193">
        <v>1081</v>
      </c>
      <c r="F229" s="193">
        <v>1099</v>
      </c>
      <c r="G229" s="193">
        <v>1157</v>
      </c>
      <c r="H229" s="193">
        <v>1168</v>
      </c>
      <c r="I229" s="388">
        <v>1180</v>
      </c>
      <c r="J229" s="388">
        <v>1202</v>
      </c>
      <c r="K229" s="388">
        <v>1224</v>
      </c>
      <c r="L229" s="388">
        <v>1251</v>
      </c>
      <c r="M229" s="388">
        <v>1279</v>
      </c>
      <c r="O229" s="314" t="s">
        <v>551</v>
      </c>
      <c r="AB229" s="49"/>
    </row>
    <row r="230" spans="1:28" x14ac:dyDescent="0.2">
      <c r="A230" s="49" t="s">
        <v>953</v>
      </c>
      <c r="B230" s="49"/>
      <c r="C230" s="391">
        <v>2.2385000000000002</v>
      </c>
      <c r="D230" s="391">
        <v>2.2614999999999998</v>
      </c>
      <c r="E230" s="391">
        <v>2.3025000000000002</v>
      </c>
      <c r="F230" s="391">
        <v>2.3168000000000002</v>
      </c>
      <c r="G230" s="391">
        <v>2.355</v>
      </c>
      <c r="H230" s="391">
        <v>2.3809999999999998</v>
      </c>
      <c r="I230" s="392">
        <v>2.3733</v>
      </c>
      <c r="J230" s="392">
        <v>2.4108000000000001</v>
      </c>
      <c r="K230" s="392">
        <v>2.4569999999999999</v>
      </c>
      <c r="L230" s="392">
        <v>2.4817999999999998</v>
      </c>
      <c r="M230" s="392">
        <v>2.5022000000000002</v>
      </c>
      <c r="O230" s="314" t="s">
        <v>551</v>
      </c>
      <c r="AB230" s="49"/>
    </row>
    <row r="231" spans="1:28" x14ac:dyDescent="0.2">
      <c r="A231" s="49" t="s">
        <v>954</v>
      </c>
      <c r="B231" s="49"/>
      <c r="C231" s="391">
        <v>3.2764000000000002</v>
      </c>
      <c r="D231" s="391">
        <v>3.3161999999999998</v>
      </c>
      <c r="E231" s="391">
        <v>3.3551000000000002</v>
      </c>
      <c r="F231" s="391">
        <v>3.4039999999999999</v>
      </c>
      <c r="G231" s="391">
        <v>3.4479000000000002</v>
      </c>
      <c r="H231" s="391">
        <v>3.4786000000000001</v>
      </c>
      <c r="I231" s="392">
        <v>3.5076000000000001</v>
      </c>
      <c r="J231" s="392">
        <v>3.5444</v>
      </c>
      <c r="K231" s="392">
        <v>3.5847000000000002</v>
      </c>
      <c r="L231" s="392">
        <v>3.6244999999999998</v>
      </c>
      <c r="M231" s="392">
        <v>3.6623000000000001</v>
      </c>
      <c r="O231" s="314" t="s">
        <v>551</v>
      </c>
      <c r="AB231" s="49"/>
    </row>
    <row r="232" spans="1:28" x14ac:dyDescent="0.2">
      <c r="A232" s="49" t="s">
        <v>955</v>
      </c>
      <c r="B232" s="49"/>
      <c r="C232" s="389">
        <v>3.7999999999999999E-2</v>
      </c>
      <c r="D232" s="389">
        <v>3.73E-2</v>
      </c>
      <c r="E232" s="389">
        <v>4.9799999999999997E-2</v>
      </c>
      <c r="F232" s="389">
        <v>6.6299999999999998E-2</v>
      </c>
      <c r="G232" s="389">
        <v>6.5500000000000003E-2</v>
      </c>
      <c r="H232" s="389">
        <v>6.6000000000000003E-2</v>
      </c>
      <c r="I232" s="390">
        <v>7.0099999999999996E-2</v>
      </c>
      <c r="J232" s="390">
        <v>6.2E-2</v>
      </c>
      <c r="K232" s="390">
        <v>5.8900000000000001E-2</v>
      </c>
      <c r="L232" s="390">
        <v>5.5899999999999998E-2</v>
      </c>
      <c r="M232" s="390">
        <v>5.2600000000000001E-2</v>
      </c>
      <c r="O232" s="314" t="s">
        <v>551</v>
      </c>
      <c r="P232" s="399">
        <f>M$232</f>
        <v>5.2600000000000001E-2</v>
      </c>
      <c r="Q232" s="400">
        <f>ROUND(P$232-0.28%,4)</f>
        <v>4.9799999999999997E-2</v>
      </c>
      <c r="R232" s="400">
        <f>ROUND(Q$232-0.15%,4)</f>
        <v>4.8300000000000003E-2</v>
      </c>
      <c r="S232" s="400"/>
      <c r="AB232" s="49"/>
    </row>
    <row r="233" spans="1:28" x14ac:dyDescent="0.2">
      <c r="A233" s="49" t="s">
        <v>956</v>
      </c>
      <c r="B233" s="49"/>
      <c r="C233" s="214">
        <v>34.15</v>
      </c>
      <c r="D233" s="214">
        <v>33.799999999999997</v>
      </c>
      <c r="E233" s="214">
        <v>33.340000000000003</v>
      </c>
      <c r="F233" s="214">
        <v>33.24</v>
      </c>
      <c r="G233" s="214">
        <v>33.35</v>
      </c>
      <c r="H233" s="214">
        <v>33.25</v>
      </c>
      <c r="I233" s="215">
        <v>33.380000000000003</v>
      </c>
      <c r="J233" s="215">
        <v>33.51</v>
      </c>
      <c r="K233" s="215">
        <v>33.35</v>
      </c>
      <c r="L233" s="215">
        <v>33.299999999999997</v>
      </c>
      <c r="M233" s="215">
        <v>33.28</v>
      </c>
      <c r="O233" s="314" t="s">
        <v>551</v>
      </c>
      <c r="P233" s="396">
        <f>M$233</f>
        <v>33.28</v>
      </c>
      <c r="Q233" s="401">
        <f>ROUND(P$233-0.04,2)</f>
        <v>33.24</v>
      </c>
      <c r="R233" s="401">
        <f>ROUND(Q$233-0.02,2)</f>
        <v>33.22</v>
      </c>
      <c r="S233" s="401"/>
      <c r="AB233" s="49"/>
    </row>
    <row r="234" spans="1:28" x14ac:dyDescent="0.2">
      <c r="A234" s="49" t="s">
        <v>957</v>
      </c>
      <c r="B234" s="49"/>
      <c r="C234" s="389">
        <v>2.4199999999999999E-2</v>
      </c>
      <c r="D234" s="389">
        <v>1.72E-2</v>
      </c>
      <c r="E234" s="389">
        <v>-1.46E-2</v>
      </c>
      <c r="F234" s="389">
        <v>2.3699999999999999E-2</v>
      </c>
      <c r="G234" s="389">
        <v>-1.14E-2</v>
      </c>
      <c r="H234" s="389">
        <v>1.6500000000000001E-2</v>
      </c>
      <c r="I234" s="390">
        <v>2.92E-2</v>
      </c>
      <c r="J234" s="390">
        <v>-3.5999999999999999E-3</v>
      </c>
      <c r="K234" s="390">
        <v>1.12E-2</v>
      </c>
      <c r="L234" s="390">
        <v>1.35E-2</v>
      </c>
      <c r="M234" s="390">
        <v>1.0699999999999999E-2</v>
      </c>
      <c r="O234" s="314" t="s">
        <v>551</v>
      </c>
      <c r="AB234" s="49"/>
    </row>
    <row r="235" spans="1:28" x14ac:dyDescent="0.2">
      <c r="A235" s="49" t="s">
        <v>958</v>
      </c>
      <c r="B235" s="49"/>
      <c r="C235" s="389">
        <v>4.8099999999999997E-2</v>
      </c>
      <c r="D235" s="389">
        <v>4.5900000000000003E-2</v>
      </c>
      <c r="E235" s="389">
        <v>5.3100000000000001E-2</v>
      </c>
      <c r="F235" s="389">
        <v>2.1899999999999999E-2</v>
      </c>
      <c r="G235" s="389">
        <v>2.1399999999999999E-2</v>
      </c>
      <c r="H235" s="389">
        <v>3.1699999999999999E-2</v>
      </c>
      <c r="I235" s="390">
        <v>2.41E-2</v>
      </c>
      <c r="J235" s="390">
        <v>2.9000000000000001E-2</v>
      </c>
      <c r="K235" s="390">
        <v>2.3300000000000001E-2</v>
      </c>
      <c r="L235" s="390">
        <v>2.7199999999999998E-2</v>
      </c>
      <c r="M235" s="390">
        <v>3.2599999999999997E-2</v>
      </c>
      <c r="O235" s="314" t="s">
        <v>551</v>
      </c>
      <c r="AB235" s="49"/>
    </row>
    <row r="236" spans="1:28" x14ac:dyDescent="0.2">
      <c r="A236" s="49" t="s">
        <v>192</v>
      </c>
      <c r="B236" s="49"/>
      <c r="C236" s="214">
        <v>832.3</v>
      </c>
      <c r="D236" s="214">
        <v>861.27</v>
      </c>
      <c r="E236" s="214">
        <v>905.51</v>
      </c>
      <c r="F236" s="214">
        <v>934.78</v>
      </c>
      <c r="G236" s="214">
        <v>967.96</v>
      </c>
      <c r="H236" s="214">
        <v>994.19</v>
      </c>
      <c r="I236" s="215">
        <v>1022.88</v>
      </c>
      <c r="J236" s="215">
        <v>1050.69</v>
      </c>
      <c r="K236" s="215">
        <v>1068.75</v>
      </c>
      <c r="L236" s="215">
        <v>1094.93</v>
      </c>
      <c r="M236" s="215">
        <v>1130.23</v>
      </c>
      <c r="O236" s="314" t="s">
        <v>551</v>
      </c>
      <c r="AB236" s="49"/>
    </row>
    <row r="237" spans="1:28" x14ac:dyDescent="0.2">
      <c r="A237" s="49" t="s">
        <v>959</v>
      </c>
      <c r="C237" s="389">
        <v>6.4100000000000004E-2</v>
      </c>
      <c r="D237" s="389">
        <v>6.8400000000000002E-2</v>
      </c>
      <c r="E237" s="389">
        <v>4.9599999999999998E-2</v>
      </c>
      <c r="F237" s="389">
        <v>5.0799999999999998E-2</v>
      </c>
      <c r="G237" s="389">
        <v>4.4699999999999997E-2</v>
      </c>
      <c r="H237" s="389">
        <v>3.5099999999999999E-2</v>
      </c>
      <c r="I237" s="390">
        <v>2.9100000000000001E-2</v>
      </c>
      <c r="J237" s="390">
        <v>3.3000000000000002E-2</v>
      </c>
      <c r="K237" s="390">
        <v>4.1000000000000002E-2</v>
      </c>
      <c r="L237" s="390">
        <v>4.7500000000000001E-2</v>
      </c>
      <c r="M237" s="390">
        <v>5.0299999999999997E-2</v>
      </c>
      <c r="O237" s="314" t="s">
        <v>551</v>
      </c>
      <c r="AB237" s="49"/>
    </row>
  </sheetData>
  <pageMargins left="0.75" right="0.75" top="1" bottom="1" header="0.5" footer="0.5"/>
  <pageSetup paperSize="9" scale="2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6"/>
  <sheetViews>
    <sheetView tabSelected="1" workbookViewId="0">
      <pane xSplit="1" ySplit="5" topLeftCell="M6" activePane="bottomRight" state="frozen"/>
      <selection activeCell="S146" sqref="S146"/>
      <selection pane="topRight" activeCell="S146" sqref="S146"/>
      <selection pane="bottomLeft" activeCell="S146" sqref="S146"/>
      <selection pane="bottomRight" activeCell="D189" sqref="D189"/>
    </sheetView>
  </sheetViews>
  <sheetFormatPr defaultRowHeight="12.75" x14ac:dyDescent="0.2"/>
  <cols>
    <col min="1" max="1" width="70.7109375" style="122" customWidth="1"/>
    <col min="2" max="2" width="9.7109375" customWidth="1"/>
    <col min="3" max="3" width="4.7109375" style="72" customWidth="1"/>
    <col min="4" max="10" width="8.7109375" style="124" customWidth="1"/>
    <col min="11" max="24" width="8.7109375" style="73" customWidth="1"/>
  </cols>
  <sheetData>
    <row r="1" spans="1:24" ht="15.75" x14ac:dyDescent="0.25">
      <c r="A1" s="162" t="s">
        <v>392</v>
      </c>
      <c r="B1" s="24" t="s">
        <v>1083</v>
      </c>
      <c r="C1" s="161">
        <f>MATCH($B$1,Scenarios!$B$3:$I$3,0)</f>
        <v>1</v>
      </c>
      <c r="D1" s="73"/>
      <c r="E1" s="73"/>
      <c r="F1" s="73"/>
      <c r="G1" s="73"/>
      <c r="H1" s="73"/>
      <c r="I1" s="73"/>
      <c r="J1" s="73"/>
    </row>
    <row r="2" spans="1:24" ht="13.5" x14ac:dyDescent="0.25">
      <c r="A2" s="163" t="s">
        <v>687</v>
      </c>
      <c r="B2" s="226"/>
      <c r="C2" s="227" t="s">
        <v>587</v>
      </c>
      <c r="D2"/>
      <c r="E2"/>
      <c r="F2"/>
      <c r="G2"/>
      <c r="H2"/>
      <c r="I2"/>
      <c r="J2"/>
      <c r="K2"/>
      <c r="L2"/>
      <c r="M2"/>
      <c r="N2"/>
      <c r="O2" s="115" t="s">
        <v>151</v>
      </c>
      <c r="P2"/>
      <c r="Q2"/>
      <c r="R2"/>
      <c r="S2"/>
      <c r="T2"/>
      <c r="U2"/>
      <c r="V2"/>
      <c r="W2"/>
      <c r="X2"/>
    </row>
    <row r="3" spans="1:24" ht="15.75" x14ac:dyDescent="0.25">
      <c r="A3" s="52" t="s">
        <v>135</v>
      </c>
      <c r="B3" s="160"/>
      <c r="C3" s="160"/>
      <c r="D3" s="160" t="s">
        <v>442</v>
      </c>
      <c r="E3" s="160" t="s">
        <v>443</v>
      </c>
      <c r="F3" s="160" t="s">
        <v>444</v>
      </c>
      <c r="G3" s="160" t="s">
        <v>445</v>
      </c>
      <c r="H3" s="160" t="s">
        <v>446</v>
      </c>
      <c r="I3" s="160" t="s">
        <v>447</v>
      </c>
      <c r="J3" s="137" t="s">
        <v>448</v>
      </c>
      <c r="K3" s="137" t="s">
        <v>449</v>
      </c>
      <c r="L3" s="137" t="s">
        <v>450</v>
      </c>
      <c r="M3" s="137" t="s">
        <v>451</v>
      </c>
      <c r="N3" s="137" t="s">
        <v>452</v>
      </c>
      <c r="O3" s="136" t="s">
        <v>453</v>
      </c>
      <c r="P3" s="136" t="s">
        <v>454</v>
      </c>
      <c r="Q3" s="136" t="s">
        <v>455</v>
      </c>
      <c r="R3" s="136" t="s">
        <v>456</v>
      </c>
      <c r="S3" s="136" t="s">
        <v>457</v>
      </c>
      <c r="T3" s="136" t="s">
        <v>458</v>
      </c>
      <c r="U3" s="136" t="s">
        <v>459</v>
      </c>
      <c r="V3" s="136" t="s">
        <v>460</v>
      </c>
      <c r="W3" s="136" t="s">
        <v>461</v>
      </c>
      <c r="X3" s="136" t="s">
        <v>462</v>
      </c>
    </row>
    <row r="4" spans="1:24" ht="13.5" x14ac:dyDescent="0.25">
      <c r="A4" s="154" t="s">
        <v>347</v>
      </c>
      <c r="B4" s="216" t="s">
        <v>363</v>
      </c>
      <c r="C4" s="340">
        <v>2006</v>
      </c>
      <c r="D4" s="340">
        <f>$C$4+1</f>
        <v>2007</v>
      </c>
      <c r="E4" s="340">
        <f>$C$4+2</f>
        <v>2008</v>
      </c>
      <c r="F4" s="340">
        <f>$C$4+3</f>
        <v>2009</v>
      </c>
      <c r="G4" s="340">
        <f>$C$4+4</f>
        <v>2010</v>
      </c>
      <c r="H4" s="340">
        <f>$C$4+5</f>
        <v>2011</v>
      </c>
      <c r="I4" s="340">
        <f>$C$4+6</f>
        <v>2012</v>
      </c>
      <c r="J4" s="341">
        <f>$C$4+7</f>
        <v>2013</v>
      </c>
      <c r="K4" s="341">
        <f>$C$4+8</f>
        <v>2014</v>
      </c>
      <c r="L4" s="341">
        <f>$C$4+9</f>
        <v>2015</v>
      </c>
      <c r="M4" s="341">
        <f>$C$4+10</f>
        <v>2016</v>
      </c>
      <c r="N4" s="341">
        <f>$C$4+11</f>
        <v>2017</v>
      </c>
      <c r="O4" s="342">
        <f>$C$4+12</f>
        <v>2018</v>
      </c>
      <c r="P4" s="342">
        <f>$C$4+13</f>
        <v>2019</v>
      </c>
      <c r="Q4" s="342">
        <f>$C$4+14</f>
        <v>2020</v>
      </c>
      <c r="R4" s="342">
        <f>$C$4+15</f>
        <v>2021</v>
      </c>
      <c r="S4" s="342">
        <f>$C$4+16</f>
        <v>2022</v>
      </c>
      <c r="T4" s="342">
        <f>$C$4+17</f>
        <v>2023</v>
      </c>
      <c r="U4" s="342">
        <f>$C$4+18</f>
        <v>2024</v>
      </c>
      <c r="V4" s="342">
        <f>$C$4+19</f>
        <v>2025</v>
      </c>
      <c r="W4" s="342">
        <f>$C$4+20</f>
        <v>2026</v>
      </c>
      <c r="X4" s="342">
        <f>$C$4+21</f>
        <v>2027</v>
      </c>
    </row>
    <row r="5" spans="1:24" ht="21" customHeight="1" x14ac:dyDescent="0.2">
      <c r="A5" s="27"/>
      <c r="C5"/>
      <c r="D5" s="117">
        <f ca="1">OFFSET(D$7,Offset!$B$1,0)/D$244</f>
        <v>7.6183218446545881E-2</v>
      </c>
      <c r="E5" s="117">
        <f ca="1">OFFSET(E$7,Offset!$B$1,0)/E$244</f>
        <v>5.5246178868794349E-2</v>
      </c>
      <c r="F5" s="117">
        <f ca="1">OFFSET(F$7,Offset!$B$1,0)/F$244</f>
        <v>9.2292182201448095E-2</v>
      </c>
      <c r="G5" s="117">
        <f ca="1">OFFSET(G$7,Offset!$B$1,0)/G$244</f>
        <v>0.13940708453685649</v>
      </c>
      <c r="H5" s="117">
        <f ca="1">OFFSET(H$7,Offset!$B$1,0)/H$244</f>
        <v>0.20040552553512389</v>
      </c>
      <c r="I5" s="117">
        <f ca="1">OFFSET(I$7,Offset!$B$1,0)/I$244</f>
        <v>0.24306484959250155</v>
      </c>
      <c r="J5" s="121">
        <f ca="1">OFFSET(J$7,Offset!$B$1,0)/J$244</f>
        <v>0.27096855651783547</v>
      </c>
      <c r="K5" s="121">
        <f ca="1">OFFSET(K$7,Offset!$B$1,0)/K$244</f>
        <v>0.28419163463394942</v>
      </c>
      <c r="L5" s="121">
        <f ca="1">OFFSET(L$7,Offset!$B$1,0)/L$244</f>
        <v>0.28674869932844166</v>
      </c>
      <c r="M5" s="121">
        <f ca="1">OFFSET(M$7,Offset!$B$1,0)/M$244</f>
        <v>0.28096321027080212</v>
      </c>
      <c r="N5" s="121">
        <f ca="1">OFFSET(N$7,Offset!$B$1,0)/N$244</f>
        <v>0.27321076592320165</v>
      </c>
      <c r="O5" s="118">
        <f ca="1">OFFSET(O$7,Offset!$B$1,0)/O$244</f>
        <v>0.25900821018774028</v>
      </c>
      <c r="P5" s="118">
        <f ca="1">OFFSET(P$7,Offset!$B$1,0)/P$244</f>
        <v>0.23371743007472612</v>
      </c>
      <c r="Q5" s="118">
        <f ca="1">OFFSET(Q$7,Offset!$B$1,0)/Q$244</f>
        <v>0.20287542557101107</v>
      </c>
      <c r="R5" s="118">
        <f ca="1">OFFSET(R$7,Offset!$B$1,0)/R$244</f>
        <v>0.17556137260166441</v>
      </c>
      <c r="S5" s="118">
        <f ca="1">OFFSET(S$7,Offset!$B$1,0)/S$244</f>
        <v>0.14484534252899653</v>
      </c>
      <c r="T5" s="118">
        <f ca="1">OFFSET(T$7,Offset!$B$1,0)/T$244</f>
        <v>0.1105304929765025</v>
      </c>
      <c r="U5" s="118">
        <f ca="1">OFFSET(U$7,Offset!$B$1,0)/U$244</f>
        <v>7.2659717843084032E-2</v>
      </c>
      <c r="V5" s="118">
        <f ca="1">OFFSET(V$7,Offset!$B$1,0)/V$244</f>
        <v>3.1140134786844444E-2</v>
      </c>
      <c r="W5" s="118">
        <f ca="1">OFFSET(W$7,Offset!$B$1,0)/W$244</f>
        <v>-1.3932901802074097E-2</v>
      </c>
      <c r="X5" s="118">
        <f ca="1">OFFSET(X$7,Offset!$B$1,0)/X$244</f>
        <v>-6.2623290868026635E-2</v>
      </c>
    </row>
    <row r="6" spans="1:24" ht="15.75" customHeight="1" x14ac:dyDescent="0.25">
      <c r="A6" s="150" t="s">
        <v>384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x14ac:dyDescent="0.2">
      <c r="A7" s="27" t="s">
        <v>158</v>
      </c>
      <c r="C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x14ac:dyDescent="0.2">
      <c r="A8" s="220" t="s">
        <v>667</v>
      </c>
      <c r="B8" s="69"/>
      <c r="C8"/>
      <c r="D8" s="69">
        <f t="shared" ref="D8:X8" si="0">D$54</f>
        <v>53.063999999999993</v>
      </c>
      <c r="E8" s="69">
        <f t="shared" si="0"/>
        <v>56.372</v>
      </c>
      <c r="F8" s="69">
        <f t="shared" si="0"/>
        <v>54.145000000000003</v>
      </c>
      <c r="G8" s="69">
        <f t="shared" si="0"/>
        <v>50.347000000000001</v>
      </c>
      <c r="H8" s="69">
        <f t="shared" si="0"/>
        <v>51.128</v>
      </c>
      <c r="I8" s="69">
        <f t="shared" si="0"/>
        <v>54.664999999999992</v>
      </c>
      <c r="J8" s="123">
        <f t="shared" si="0"/>
        <v>57.838999999999999</v>
      </c>
      <c r="K8" s="123">
        <f t="shared" si="0"/>
        <v>61.772999999999996</v>
      </c>
      <c r="L8" s="123">
        <f t="shared" si="0"/>
        <v>65.393999999999991</v>
      </c>
      <c r="M8" s="123">
        <f t="shared" si="0"/>
        <v>68.903000000000006</v>
      </c>
      <c r="N8" s="123">
        <f t="shared" si="0"/>
        <v>71.981999999999999</v>
      </c>
      <c r="O8" s="73">
        <f t="shared" ca="1" si="0"/>
        <v>76.059647517807136</v>
      </c>
      <c r="P8" s="73">
        <f t="shared" ca="1" si="0"/>
        <v>79.928880603791214</v>
      </c>
      <c r="Q8" s="73">
        <f t="shared" ca="1" si="0"/>
        <v>84.025369057493293</v>
      </c>
      <c r="R8" s="73">
        <f t="shared" ca="1" si="0"/>
        <v>88.225480373504013</v>
      </c>
      <c r="S8" s="73">
        <f t="shared" ca="1" si="0"/>
        <v>92.282563261471381</v>
      </c>
      <c r="T8" s="73">
        <f t="shared" ca="1" si="0"/>
        <v>96.449053838475351</v>
      </c>
      <c r="U8" s="73">
        <f t="shared" ca="1" si="0"/>
        <v>100.7346391297981</v>
      </c>
      <c r="V8" s="73">
        <f t="shared" ca="1" si="0"/>
        <v>105.18550908877289</v>
      </c>
      <c r="W8" s="73">
        <f t="shared" ca="1" si="0"/>
        <v>109.77514159340944</v>
      </c>
      <c r="X8" s="73">
        <f t="shared" ca="1" si="0"/>
        <v>114.49421683470598</v>
      </c>
    </row>
    <row r="9" spans="1:24" x14ac:dyDescent="0.2">
      <c r="A9" s="220" t="s">
        <v>316</v>
      </c>
      <c r="B9" s="69"/>
      <c r="C9"/>
      <c r="D9" s="69">
        <f t="shared" ref="D9:X9" si="1">SUM(D$8,D$62,D$72)</f>
        <v>74.588999999999999</v>
      </c>
      <c r="E9" s="69">
        <f t="shared" si="1"/>
        <v>81.478999999999999</v>
      </c>
      <c r="F9" s="69">
        <f t="shared" si="1"/>
        <v>79.506</v>
      </c>
      <c r="G9" s="69">
        <f t="shared" si="1"/>
        <v>74.724999999999994</v>
      </c>
      <c r="H9" s="69">
        <f t="shared" si="1"/>
        <v>81.562999999999988</v>
      </c>
      <c r="I9" s="69">
        <f t="shared" si="1"/>
        <v>83.483000000000004</v>
      </c>
      <c r="J9" s="123">
        <f t="shared" si="1"/>
        <v>86.463000000000008</v>
      </c>
      <c r="K9" s="123">
        <f t="shared" si="1"/>
        <v>91.603999999999985</v>
      </c>
      <c r="L9" s="123">
        <f t="shared" si="1"/>
        <v>96.205999999999989</v>
      </c>
      <c r="M9" s="123">
        <f t="shared" si="1"/>
        <v>99.963999999999999</v>
      </c>
      <c r="N9" s="123">
        <f t="shared" si="1"/>
        <v>104.494</v>
      </c>
      <c r="O9" s="73">
        <f t="shared" ca="1" si="1"/>
        <v>109.47046755162735</v>
      </c>
      <c r="P9" s="73">
        <f t="shared" ca="1" si="1"/>
        <v>114.72582488922762</v>
      </c>
      <c r="Q9" s="73">
        <f t="shared" ca="1" si="1"/>
        <v>120.30321237055578</v>
      </c>
      <c r="R9" s="73">
        <f t="shared" ca="1" si="1"/>
        <v>126.09283049877276</v>
      </c>
      <c r="S9" s="73">
        <f t="shared" ca="1" si="1"/>
        <v>131.84140243882581</v>
      </c>
      <c r="T9" s="73">
        <f t="shared" ca="1" si="1"/>
        <v>137.73646466224363</v>
      </c>
      <c r="U9" s="73">
        <f t="shared" ca="1" si="1"/>
        <v>143.80023862761223</v>
      </c>
      <c r="V9" s="73">
        <f t="shared" ca="1" si="1"/>
        <v>150.09320681353739</v>
      </c>
      <c r="W9" s="73">
        <f t="shared" ca="1" si="1"/>
        <v>156.5796811627184</v>
      </c>
      <c r="X9" s="73">
        <f t="shared" ca="1" si="1"/>
        <v>163.24586867627914</v>
      </c>
    </row>
    <row r="10" spans="1:24" x14ac:dyDescent="0.2">
      <c r="A10" s="220" t="s">
        <v>317</v>
      </c>
      <c r="B10" s="69"/>
      <c r="C10"/>
      <c r="D10" s="69">
        <f t="shared" ref="D10:X10" si="2">SUM(D$11,D$144)</f>
        <v>68.728999999999999</v>
      </c>
      <c r="E10" s="69">
        <f t="shared" si="2"/>
        <v>75.841999999999999</v>
      </c>
      <c r="F10" s="69">
        <f t="shared" si="2"/>
        <v>83.398999999999987</v>
      </c>
      <c r="G10" s="69">
        <f t="shared" si="2"/>
        <v>81.039999999999992</v>
      </c>
      <c r="H10" s="69">
        <f t="shared" si="2"/>
        <v>99.959000000000003</v>
      </c>
      <c r="I10" s="69">
        <f t="shared" si="2"/>
        <v>92.723000000000013</v>
      </c>
      <c r="J10" s="123">
        <f t="shared" ca="1" si="2"/>
        <v>92.738</v>
      </c>
      <c r="K10" s="123">
        <f t="shared" ca="1" si="2"/>
        <v>93.497000000000014</v>
      </c>
      <c r="L10" s="123">
        <f t="shared" ca="1" si="2"/>
        <v>95.930999999999997</v>
      </c>
      <c r="M10" s="123">
        <f t="shared" ca="1" si="2"/>
        <v>98.89700000000002</v>
      </c>
      <c r="N10" s="123">
        <f t="shared" ca="1" si="2"/>
        <v>101.53599999999997</v>
      </c>
      <c r="O10" s="73">
        <f t="shared" ca="1" si="2"/>
        <v>104.11388062791751</v>
      </c>
      <c r="P10" s="73">
        <f t="shared" ca="1" si="2"/>
        <v>107.51331237541349</v>
      </c>
      <c r="Q10" s="73">
        <f t="shared" ca="1" si="2"/>
        <v>111.00881200522829</v>
      </c>
      <c r="R10" s="73">
        <f t="shared" ca="1" si="2"/>
        <v>114.72174581843947</v>
      </c>
      <c r="S10" s="73">
        <f t="shared" ca="1" si="2"/>
        <v>118.59274092936418</v>
      </c>
      <c r="T10" s="73">
        <f t="shared" ca="1" si="2"/>
        <v>122.53363117635473</v>
      </c>
      <c r="U10" s="73">
        <f t="shared" ca="1" si="2"/>
        <v>126.55098142872043</v>
      </c>
      <c r="V10" s="73">
        <f t="shared" ca="1" si="2"/>
        <v>130.6072975918762</v>
      </c>
      <c r="W10" s="73">
        <f t="shared" ca="1" si="2"/>
        <v>134.72315320731394</v>
      </c>
      <c r="X10" s="73">
        <f t="shared" ca="1" si="2"/>
        <v>138.79146955285518</v>
      </c>
    </row>
    <row r="11" spans="1:24" x14ac:dyDescent="0.2">
      <c r="A11" s="220" t="s">
        <v>322</v>
      </c>
      <c r="B11" s="69"/>
      <c r="C11"/>
      <c r="D11" s="69">
        <f>SUM(D$89,D$100,D$104,D$113,D$117,D$123,D$129,D$139,$D$147:D$147)</f>
        <v>65.843999999999994</v>
      </c>
      <c r="E11" s="69">
        <f>SUM(E$89,E$100,E$104,E$113,E$117,E$123,E$129,E$139,$D$147:E$147)</f>
        <v>72.741</v>
      </c>
      <c r="F11" s="69">
        <f>SUM(F$89,F$100,F$104,F$113,F$117,F$123,F$129,F$139,$D$147:F$147)</f>
        <v>80.328999999999994</v>
      </c>
      <c r="G11" s="69">
        <f>SUM(G$89,G$100,G$104,G$113,G$117,G$123,G$129,G$139,$D$147:G$147)</f>
        <v>78.262999999999991</v>
      </c>
      <c r="H11" s="69">
        <f>SUM(H$89,H$100,H$104,H$113,H$117,H$123,H$129,H$139,$D$147:H$147)</f>
        <v>96.363</v>
      </c>
      <c r="I11" s="69">
        <f>SUM(I$89,I$100,I$104,I$113,I$117,I$123,I$129,I$139,$D$147:I$147)</f>
        <v>88.433000000000007</v>
      </c>
      <c r="J11" s="123">
        <f ca="1">SUM(J$89,J$100,J$104,J$113,J$117,J$123,J$129,J$139,$D$147:J$147)</f>
        <v>88.436999999999998</v>
      </c>
      <c r="K11" s="123">
        <f ca="1">SUM(K$89,K$100,K$104,K$113,K$117,K$123,K$129,K$139,$D$147:K$147)</f>
        <v>88.981000000000009</v>
      </c>
      <c r="L11" s="123">
        <f ca="1">SUM(L$89,L$100,L$104,L$113,L$117,L$123,L$129,L$139,$D$147:L$147)</f>
        <v>90.997</v>
      </c>
      <c r="M11" s="123">
        <f ca="1">SUM(M$89,M$100,M$104,M$113,M$117,M$123,M$129,M$139,$D$147:M$147)</f>
        <v>93.866000000000014</v>
      </c>
      <c r="N11" s="123">
        <f ca="1">SUM(N$89,N$100,N$104,N$113,N$117,N$123,N$129,N$139,$D$147:N$147)</f>
        <v>95.940999999999974</v>
      </c>
      <c r="O11" s="73">
        <f ca="1">SUM(O$89,O$100,O$104,O$113,O$117,O$123,O$129,O$139,$D$147:O$147)</f>
        <v>98.226231442806835</v>
      </c>
      <c r="P11" s="73">
        <f ca="1">SUM(P$89,P$100,P$104,P$113,P$117,P$123,P$129,P$139,$D$147:P$147)</f>
        <v>101.54858552432725</v>
      </c>
      <c r="Q11" s="73">
        <f ca="1">SUM(Q$89,Q$100,Q$104,Q$113,Q$117,Q$123,Q$129,Q$139,$D$147:Q$147)</f>
        <v>105.05482973394517</v>
      </c>
      <c r="R11" s="73">
        <f ca="1">SUM(R$89,R$100,R$104,R$113,R$117,R$123,R$129,R$139,$D$147:R$147)</f>
        <v>108.83189642786485</v>
      </c>
      <c r="S11" s="73">
        <f ca="1">SUM(S$89,S$100,S$104,S$113,S$117,S$123,S$129,S$139,$D$147:S$147)</f>
        <v>112.81674763643315</v>
      </c>
      <c r="T11" s="73">
        <f ca="1">SUM(T$89,T$100,T$104,T$113,T$117,T$123,T$129,T$139,$D$147:T$147)</f>
        <v>116.96309818009787</v>
      </c>
      <c r="U11" s="73">
        <f ca="1">SUM(U$89,U$100,U$104,U$113,U$117,U$123,U$129,U$139,$D$147:U$147)</f>
        <v>121.29322102835192</v>
      </c>
      <c r="V11" s="73">
        <f ca="1">SUM(V$89,V$100,V$104,V$113,V$117,V$123,V$129,V$139,$D$147:V$147)</f>
        <v>125.7832670345382</v>
      </c>
      <c r="W11" s="73">
        <f ca="1">SUM(W$89,W$100,W$104,W$113,W$117,W$123,W$129,W$139,$D$147:W$147)</f>
        <v>130.46902732251868</v>
      </c>
      <c r="X11" s="73">
        <f ca="1">SUM(X$89,X$100,X$104,X$113,X$117,X$123,X$129,X$139,$D$147:X$147)</f>
        <v>135.31661079259172</v>
      </c>
    </row>
    <row r="12" spans="1:24" x14ac:dyDescent="0.2">
      <c r="A12" s="220" t="s">
        <v>878</v>
      </c>
      <c r="B12" s="228"/>
      <c r="C12"/>
      <c r="D12" s="69">
        <f>Data!C$11</f>
        <v>0</v>
      </c>
      <c r="E12" s="69">
        <f>Data!D$11</f>
        <v>0</v>
      </c>
      <c r="F12" s="69">
        <f>Data!E$11</f>
        <v>0</v>
      </c>
      <c r="G12" s="69">
        <f>Data!F$11</f>
        <v>0</v>
      </c>
      <c r="H12" s="69">
        <f>Data!G$11</f>
        <v>0</v>
      </c>
      <c r="I12" s="69">
        <f>Data!H$11</f>
        <v>0</v>
      </c>
      <c r="J12" s="123">
        <f>Data!I$11</f>
        <v>0.01</v>
      </c>
      <c r="K12" s="123">
        <f>Data!J$11</f>
        <v>0.14000000000000001</v>
      </c>
      <c r="L12" s="123">
        <f>Data!K$11</f>
        <v>0.2</v>
      </c>
      <c r="M12" s="123">
        <f>Data!L$11</f>
        <v>0.27</v>
      </c>
      <c r="N12" s="123">
        <f>Data!M$11</f>
        <v>0.34</v>
      </c>
      <c r="O12" s="73">
        <f t="shared" ref="O12:X12" ca="1" si="3">N$12*O$163/N$163</f>
        <v>0.35525675837811899</v>
      </c>
      <c r="P12" s="73">
        <f t="shared" ca="1" si="3"/>
        <v>0.37123995662413783</v>
      </c>
      <c r="Q12" s="73">
        <f t="shared" ca="1" si="3"/>
        <v>0.38837019559379926</v>
      </c>
      <c r="R12" s="73">
        <f t="shared" ca="1" si="3"/>
        <v>0.40633853131526482</v>
      </c>
      <c r="S12" s="73">
        <f t="shared" ca="1" si="3"/>
        <v>0.42502416606773991</v>
      </c>
      <c r="T12" s="73">
        <f t="shared" ca="1" si="3"/>
        <v>0.44421369787455262</v>
      </c>
      <c r="U12" s="73">
        <f t="shared" ca="1" si="3"/>
        <v>0.46395174209635953</v>
      </c>
      <c r="V12" s="73">
        <f t="shared" ca="1" si="3"/>
        <v>0.48445103498259245</v>
      </c>
      <c r="W12" s="73">
        <f t="shared" ca="1" si="3"/>
        <v>0.50558942406605833</v>
      </c>
      <c r="X12" s="73">
        <f t="shared" ca="1" si="3"/>
        <v>0.52732398526761515</v>
      </c>
    </row>
    <row r="13" spans="1:24" x14ac:dyDescent="0.2">
      <c r="A13" s="220" t="s">
        <v>318</v>
      </c>
      <c r="B13" s="69"/>
      <c r="C13"/>
      <c r="D13" s="69">
        <f>D$9-SUM(D$10,D$12)</f>
        <v>5.8599999999999994</v>
      </c>
      <c r="E13" s="69">
        <f t="shared" ref="E13:X13" si="4">E$9-SUM(E$10,E$12)</f>
        <v>5.6370000000000005</v>
      </c>
      <c r="F13" s="69">
        <f t="shared" si="4"/>
        <v>-3.8929999999999865</v>
      </c>
      <c r="G13" s="69">
        <f t="shared" si="4"/>
        <v>-6.3149999999999977</v>
      </c>
      <c r="H13" s="69">
        <f t="shared" si="4"/>
        <v>-18.396000000000015</v>
      </c>
      <c r="I13" s="69">
        <f t="shared" si="4"/>
        <v>-9.2400000000000091</v>
      </c>
      <c r="J13" s="123">
        <f t="shared" ca="1" si="4"/>
        <v>-6.2849999999999966</v>
      </c>
      <c r="K13" s="123">
        <f t="shared" ca="1" si="4"/>
        <v>-2.0330000000000297</v>
      </c>
      <c r="L13" s="123">
        <f ca="1">L$9-SUM(L$10,L$12)</f>
        <v>7.4999999999988631E-2</v>
      </c>
      <c r="M13" s="123">
        <f t="shared" ca="1" si="4"/>
        <v>0.79699999999998283</v>
      </c>
      <c r="N13" s="123">
        <f t="shared" ca="1" si="4"/>
        <v>2.6180000000000234</v>
      </c>
      <c r="O13" s="73">
        <f t="shared" ca="1" si="4"/>
        <v>5.0013301653317228</v>
      </c>
      <c r="P13" s="73">
        <f t="shared" ca="1" si="4"/>
        <v>6.8412725571899955</v>
      </c>
      <c r="Q13" s="73">
        <f t="shared" ca="1" si="4"/>
        <v>8.9060301697336968</v>
      </c>
      <c r="R13" s="73">
        <f t="shared" ca="1" si="4"/>
        <v>10.964746149018012</v>
      </c>
      <c r="S13" s="73">
        <f t="shared" ca="1" si="4"/>
        <v>12.823637343393884</v>
      </c>
      <c r="T13" s="73">
        <f t="shared" ca="1" si="4"/>
        <v>14.758619788014343</v>
      </c>
      <c r="U13" s="73">
        <f t="shared" ca="1" si="4"/>
        <v>16.785305456795442</v>
      </c>
      <c r="V13" s="73">
        <f t="shared" ca="1" si="4"/>
        <v>19.001458186678605</v>
      </c>
      <c r="W13" s="73">
        <f t="shared" ca="1" si="4"/>
        <v>21.350938531338414</v>
      </c>
      <c r="X13" s="73">
        <f t="shared" ca="1" si="4"/>
        <v>23.92707513815634</v>
      </c>
    </row>
    <row r="14" spans="1:24" x14ac:dyDescent="0.2">
      <c r="A14" s="220" t="s">
        <v>553</v>
      </c>
      <c r="B14" s="228"/>
      <c r="C14"/>
      <c r="D14" s="69">
        <f>SUM(Data!C$13:C$15,-Data!C$16)</f>
        <v>2.1629999999999998</v>
      </c>
      <c r="E14" s="69">
        <f>SUM(Data!D$13:D$15,-Data!D$16)</f>
        <v>-3.2530000000000001</v>
      </c>
      <c r="F14" s="69">
        <f>SUM(Data!E$13:E$15,-Data!E$16)</f>
        <v>-6.612000000000001</v>
      </c>
      <c r="G14" s="69">
        <f>SUM(Data!F$13:F$15,-Data!F$16)</f>
        <v>1.806</v>
      </c>
      <c r="H14" s="69">
        <f>SUM(Data!G$13:G$15,-Data!G$16)</f>
        <v>5.0360000000000005</v>
      </c>
      <c r="I14" s="69">
        <f>SUM(Data!H$13:H$15,-Data!H$16)</f>
        <v>-5.657</v>
      </c>
      <c r="J14" s="123">
        <f>SUM(Data!I$13:I$15,-Data!I$16) + IF($L$1="Yes",#REF!,0)</f>
        <v>8.2029999999999994</v>
      </c>
      <c r="K14" s="123">
        <f>SUM(Data!J$13:J$15,-Data!J$16) + IF($L$1="Yes",#REF!,0)</f>
        <v>2.391</v>
      </c>
      <c r="L14" s="123">
        <f>SUM(Data!K$13:K$15,-Data!K$16) + IF($L$1="Yes",#REF!,0)</f>
        <v>2.64</v>
      </c>
      <c r="M14" s="123">
        <f>SUM(Data!L$13:L$15,-Data!L$16) + IF($L$1="Yes",#REF!,0)</f>
        <v>2.6890000000000001</v>
      </c>
      <c r="N14" s="123">
        <f>SUM(Data!M$13:M$15,-Data!M$16) + IF($L$1="Yes",#REF!,0)</f>
        <v>2.7950000000000004</v>
      </c>
      <c r="O14" s="73">
        <f t="shared" ref="O14:X14" ca="1" si="5">SUM(N$14,(O$172-N$172),(N$14-N$23)*O$245)</f>
        <v>2.602975399418253</v>
      </c>
      <c r="P14" s="73">
        <f t="shared" ca="1" si="5"/>
        <v>2.7495400856491505</v>
      </c>
      <c r="Q14" s="73">
        <f t="shared" ca="1" si="5"/>
        <v>2.9075964523268754</v>
      </c>
      <c r="R14" s="73">
        <f t="shared" ca="1" si="5"/>
        <v>3.1461439773751891</v>
      </c>
      <c r="S14" s="73">
        <f t="shared" ca="1" si="5"/>
        <v>3.4677223258923378</v>
      </c>
      <c r="T14" s="73">
        <f t="shared" ca="1" si="5"/>
        <v>3.7824993967979341</v>
      </c>
      <c r="U14" s="73">
        <f t="shared" ca="1" si="5"/>
        <v>4.1057471269382591</v>
      </c>
      <c r="V14" s="73">
        <f t="shared" ca="1" si="5"/>
        <v>4.4362686782524481</v>
      </c>
      <c r="W14" s="73">
        <f t="shared" ca="1" si="5"/>
        <v>4.772032678747073</v>
      </c>
      <c r="X14" s="73">
        <f t="shared" ca="1" si="5"/>
        <v>5.1105851486561678</v>
      </c>
    </row>
    <row r="15" spans="1:24" x14ac:dyDescent="0.2">
      <c r="A15" s="220" t="s">
        <v>128</v>
      </c>
      <c r="B15" s="70"/>
      <c r="C15"/>
      <c r="D15" s="69">
        <f t="shared" ref="D15:X15" si="6">SUM(D$13,D$14)</f>
        <v>8.0229999999999997</v>
      </c>
      <c r="E15" s="69">
        <f t="shared" si="6"/>
        <v>2.3840000000000003</v>
      </c>
      <c r="F15" s="69">
        <f t="shared" si="6"/>
        <v>-10.504999999999988</v>
      </c>
      <c r="G15" s="69">
        <f t="shared" si="6"/>
        <v>-4.5089999999999977</v>
      </c>
      <c r="H15" s="69">
        <f t="shared" si="6"/>
        <v>-13.360000000000014</v>
      </c>
      <c r="I15" s="69">
        <f t="shared" si="6"/>
        <v>-14.897000000000009</v>
      </c>
      <c r="J15" s="123">
        <f t="shared" ca="1" si="6"/>
        <v>1.9180000000000028</v>
      </c>
      <c r="K15" s="123">
        <f t="shared" ca="1" si="6"/>
        <v>0.35799999999997034</v>
      </c>
      <c r="L15" s="123">
        <f t="shared" ca="1" si="6"/>
        <v>2.7149999999999888</v>
      </c>
      <c r="M15" s="123">
        <f t="shared" ca="1" si="6"/>
        <v>3.4859999999999829</v>
      </c>
      <c r="N15" s="123">
        <f t="shared" ca="1" si="6"/>
        <v>5.4130000000000233</v>
      </c>
      <c r="O15" s="73">
        <f t="shared" ca="1" si="6"/>
        <v>7.6043055647499758</v>
      </c>
      <c r="P15" s="73">
        <f t="shared" ca="1" si="6"/>
        <v>9.5908126428391469</v>
      </c>
      <c r="Q15" s="73">
        <f t="shared" ca="1" si="6"/>
        <v>11.813626622060571</v>
      </c>
      <c r="R15" s="73">
        <f t="shared" ca="1" si="6"/>
        <v>14.110890126393201</v>
      </c>
      <c r="S15" s="73">
        <f t="shared" ca="1" si="6"/>
        <v>16.291359669286223</v>
      </c>
      <c r="T15" s="73">
        <f t="shared" ca="1" si="6"/>
        <v>18.541119184812278</v>
      </c>
      <c r="U15" s="73">
        <f t="shared" ca="1" si="6"/>
        <v>20.8910525837337</v>
      </c>
      <c r="V15" s="73">
        <f t="shared" ca="1" si="6"/>
        <v>23.437726864931051</v>
      </c>
      <c r="W15" s="73">
        <f t="shared" ca="1" si="6"/>
        <v>26.122971210085488</v>
      </c>
      <c r="X15" s="73">
        <f t="shared" ca="1" si="6"/>
        <v>29.037660286812507</v>
      </c>
    </row>
    <row r="16" spans="1:24" x14ac:dyDescent="0.2">
      <c r="A16" s="27" t="s">
        <v>161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220" t="s">
        <v>667</v>
      </c>
      <c r="B17" s="69"/>
      <c r="C17"/>
      <c r="D17" s="69">
        <f t="shared" ref="D17:X17" si="7">D$56</f>
        <v>53.476999999999997</v>
      </c>
      <c r="E17" s="69">
        <f t="shared" si="7"/>
        <v>56.747</v>
      </c>
      <c r="F17" s="69">
        <f t="shared" si="7"/>
        <v>54.680999999999997</v>
      </c>
      <c r="G17" s="69">
        <f t="shared" si="7"/>
        <v>50.744</v>
      </c>
      <c r="H17" s="69">
        <f t="shared" si="7"/>
        <v>51.557000000000002</v>
      </c>
      <c r="I17" s="69">
        <f t="shared" si="7"/>
        <v>55.081000000000003</v>
      </c>
      <c r="J17" s="123">
        <f t="shared" si="7"/>
        <v>58.286000000000001</v>
      </c>
      <c r="K17" s="123">
        <f t="shared" si="7"/>
        <v>62.383000000000003</v>
      </c>
      <c r="L17" s="123">
        <f t="shared" si="7"/>
        <v>66.08</v>
      </c>
      <c r="M17" s="123">
        <f t="shared" si="7"/>
        <v>69.679000000000002</v>
      </c>
      <c r="N17" s="123">
        <f t="shared" si="7"/>
        <v>72.819999999999993</v>
      </c>
      <c r="O17" s="73">
        <f t="shared" ca="1" si="7"/>
        <v>76.935250939927315</v>
      </c>
      <c r="P17" s="73">
        <f t="shared" ca="1" si="7"/>
        <v>80.843877908647173</v>
      </c>
      <c r="Q17" s="73">
        <f t="shared" ca="1" si="7"/>
        <v>84.982587363103889</v>
      </c>
      <c r="R17" s="73">
        <f t="shared" ca="1" si="7"/>
        <v>89.226985341863397</v>
      </c>
      <c r="S17" s="73">
        <f t="shared" ca="1" si="7"/>
        <v>93.330122823720686</v>
      </c>
      <c r="T17" s="73">
        <f t="shared" ca="1" si="7"/>
        <v>97.543909952648505</v>
      </c>
      <c r="U17" s="73">
        <f t="shared" ca="1" si="7"/>
        <v>101.87814371767088</v>
      </c>
      <c r="V17" s="73">
        <f t="shared" ca="1" si="7"/>
        <v>106.37953840440645</v>
      </c>
      <c r="W17" s="73">
        <f t="shared" ca="1" si="7"/>
        <v>111.02127082096048</v>
      </c>
      <c r="X17" s="73">
        <f t="shared" ca="1" si="7"/>
        <v>115.79391536310085</v>
      </c>
    </row>
    <row r="18" spans="1:24" x14ac:dyDescent="0.2">
      <c r="A18" s="220" t="s">
        <v>316</v>
      </c>
      <c r="B18" s="69"/>
      <c r="C18"/>
      <c r="D18" s="69">
        <f t="shared" ref="D18:X18" si="8">SUM(D$17,D$61,D$69)</f>
        <v>58.210999999999999</v>
      </c>
      <c r="E18" s="69">
        <f t="shared" si="8"/>
        <v>61.819000000000003</v>
      </c>
      <c r="F18" s="69">
        <f t="shared" si="8"/>
        <v>59.481999999999999</v>
      </c>
      <c r="G18" s="69">
        <f t="shared" si="8"/>
        <v>56.216000000000001</v>
      </c>
      <c r="H18" s="69">
        <f t="shared" si="8"/>
        <v>57.55</v>
      </c>
      <c r="I18" s="69">
        <f t="shared" si="8"/>
        <v>60.565000000000005</v>
      </c>
      <c r="J18" s="123">
        <f t="shared" si="8"/>
        <v>63.808999999999997</v>
      </c>
      <c r="K18" s="123">
        <f t="shared" si="8"/>
        <v>68.382000000000005</v>
      </c>
      <c r="L18" s="123">
        <f t="shared" si="8"/>
        <v>72.278999999999996</v>
      </c>
      <c r="M18" s="123">
        <f t="shared" si="8"/>
        <v>75.844999999999999</v>
      </c>
      <c r="N18" s="123">
        <f t="shared" si="8"/>
        <v>79.488</v>
      </c>
      <c r="O18" s="73">
        <f t="shared" ca="1" si="8"/>
        <v>83.342377845735442</v>
      </c>
      <c r="P18" s="73">
        <f t="shared" ca="1" si="8"/>
        <v>87.422217961747663</v>
      </c>
      <c r="Q18" s="73">
        <f t="shared" ca="1" si="8"/>
        <v>91.739726749913018</v>
      </c>
      <c r="R18" s="73">
        <f t="shared" ca="1" si="8"/>
        <v>96.207826633862425</v>
      </c>
      <c r="S18" s="73">
        <f t="shared" ca="1" si="8"/>
        <v>100.58212509562023</v>
      </c>
      <c r="T18" s="73">
        <f t="shared" ca="1" si="8"/>
        <v>105.06585369444642</v>
      </c>
      <c r="U18" s="73">
        <f t="shared" ca="1" si="8"/>
        <v>109.67795256037235</v>
      </c>
      <c r="V18" s="73">
        <f t="shared" ca="1" si="8"/>
        <v>114.46325804655295</v>
      </c>
      <c r="W18" s="73">
        <f t="shared" ca="1" si="8"/>
        <v>119.39506605037766</v>
      </c>
      <c r="X18" s="73">
        <f t="shared" ca="1" si="8"/>
        <v>124.46274051274389</v>
      </c>
    </row>
    <row r="19" spans="1:24" x14ac:dyDescent="0.2">
      <c r="A19" s="220" t="s">
        <v>317</v>
      </c>
      <c r="B19" s="69"/>
      <c r="C19"/>
      <c r="D19" s="69">
        <f>SUM(D$20,D$142)</f>
        <v>54.003</v>
      </c>
      <c r="E19" s="69">
        <f t="shared" ref="E19:X19" si="9">SUM(E$20,E$142)</f>
        <v>56.997</v>
      </c>
      <c r="F19" s="69">
        <f t="shared" si="9"/>
        <v>64.001999999999995</v>
      </c>
      <c r="G19" s="69">
        <f t="shared" si="9"/>
        <v>64.013000000000005</v>
      </c>
      <c r="H19" s="69">
        <f t="shared" si="9"/>
        <v>70.45</v>
      </c>
      <c r="I19" s="69">
        <f t="shared" si="9"/>
        <v>69.075999999999979</v>
      </c>
      <c r="J19" s="263">
        <f t="shared" ca="1" si="9"/>
        <v>71.649000000000001</v>
      </c>
      <c r="K19" s="263">
        <f t="shared" ca="1" si="9"/>
        <v>72.367000000000004</v>
      </c>
      <c r="L19" s="263">
        <f t="shared" ca="1" si="9"/>
        <v>73.456999999999979</v>
      </c>
      <c r="M19" s="263">
        <f t="shared" ca="1" si="9"/>
        <v>75.177999999999983</v>
      </c>
      <c r="N19" s="263">
        <f t="shared" ca="1" si="9"/>
        <v>77.191000000000003</v>
      </c>
      <c r="O19" s="258">
        <f t="shared" ca="1" si="9"/>
        <v>78.703918894751823</v>
      </c>
      <c r="P19" s="258">
        <f t="shared" ca="1" si="9"/>
        <v>80.981053648941966</v>
      </c>
      <c r="Q19" s="258">
        <f t="shared" ca="1" si="9"/>
        <v>83.254768097148485</v>
      </c>
      <c r="R19" s="258">
        <f t="shared" ca="1" si="9"/>
        <v>85.673756836979877</v>
      </c>
      <c r="S19" s="258">
        <f t="shared" ca="1" si="9"/>
        <v>88.185254375404654</v>
      </c>
      <c r="T19" s="258">
        <f t="shared" ca="1" si="9"/>
        <v>90.705947031773761</v>
      </c>
      <c r="U19" s="258">
        <f t="shared" ca="1" si="9"/>
        <v>93.239452610103683</v>
      </c>
      <c r="V19" s="258">
        <f t="shared" ca="1" si="9"/>
        <v>95.731361862879268</v>
      </c>
      <c r="W19" s="258">
        <f t="shared" ca="1" si="9"/>
        <v>98.202893347633818</v>
      </c>
      <c r="X19" s="258">
        <f t="shared" ca="1" si="9"/>
        <v>100.58384252549439</v>
      </c>
    </row>
    <row r="20" spans="1:24" x14ac:dyDescent="0.2">
      <c r="A20" s="220" t="s">
        <v>322</v>
      </c>
      <c r="B20" s="69"/>
      <c r="C20"/>
      <c r="D20" s="262">
        <f>SUM(D$87,D$99,D$103,D$112,D$116,D$122,D$128,D$138,$D$147:D$147)</f>
        <v>51.673999999999999</v>
      </c>
      <c r="E20" s="262">
        <f>SUM(E$87,E$99,E$103,E$112,E$116,E$122,E$128,E$138,$D$147:E$147)</f>
        <v>54.536999999999999</v>
      </c>
      <c r="F20" s="262">
        <f>SUM(F$87,F$99,F$103,F$112,F$116,F$122,F$128,F$138,$D$147:F$147)</f>
        <v>61.572999999999993</v>
      </c>
      <c r="G20" s="262">
        <f>SUM(G$87,G$99,G$103,G$112,G$116,G$122,G$128,G$138,$D$147:G$147)</f>
        <v>61.701999999999998</v>
      </c>
      <c r="H20" s="262">
        <f>SUM(H$87,H$99,H$103,H$112,H$116,H$122,H$128,H$138,$D$147:H$147)</f>
        <v>67.384</v>
      </c>
      <c r="I20" s="262">
        <f>SUM(I$87,I$99,I$103,I$112,I$116,I$122,I$128,I$138,$D$147:I$147)</f>
        <v>65.564999999999984</v>
      </c>
      <c r="J20" s="263">
        <f ca="1">SUM(J$87,J$99,J$103,J$112,J$116,J$122,J$128,J$138,$D$147:J$147)</f>
        <v>68.091999999999999</v>
      </c>
      <c r="K20" s="263">
        <f ca="1">SUM(K$87,K$99,K$103,K$112,K$116,K$122,K$128,K$138,$D$147:K$147)</f>
        <v>68.745000000000005</v>
      </c>
      <c r="L20" s="263">
        <f ca="1">SUM(L$87,L$99,L$103,L$112,L$116,L$122,L$128,L$138,$D$147:L$147)</f>
        <v>69.528999999999982</v>
      </c>
      <c r="M20" s="263">
        <f ca="1">SUM(M$87,M$99,M$103,M$112,M$116,M$122,M$128,M$138,$D$147:M$147)</f>
        <v>71.294999999999987</v>
      </c>
      <c r="N20" s="263">
        <f ca="1">SUM(N$87,N$99,N$103,N$112,N$116,N$122,N$128,N$138,$D$147:N$147)</f>
        <v>72.918000000000006</v>
      </c>
      <c r="O20" s="258">
        <f ca="1">SUM(O$87,O$99,O$103,O$112,O$116,O$122,O$128,O$138,$D$147:O$147)</f>
        <v>74.204304436263271</v>
      </c>
      <c r="P20" s="258">
        <f ca="1">SUM(P$87,P$99,P$103,P$112,P$116,P$122,P$128,P$138,$D$147:P$147)</f>
        <v>76.473894660577741</v>
      </c>
      <c r="Q20" s="258">
        <f ca="1">SUM(Q$87,Q$99,Q$103,Q$112,Q$116,Q$122,Q$128,Q$138,$D$147:Q$147)</f>
        <v>78.845839425056695</v>
      </c>
      <c r="R20" s="258">
        <f ca="1">SUM(R$87,R$99,R$103,R$112,R$116,R$122,R$128,R$138,$D$147:R$147)</f>
        <v>81.434134351325099</v>
      </c>
      <c r="S20" s="258">
        <f ca="1">SUM(S$87,S$99,S$103,S$112,S$116,S$122,S$128,S$138,$D$147:S$147)</f>
        <v>84.182447091411774</v>
      </c>
      <c r="T20" s="258">
        <f ca="1">SUM(T$87,T$99,T$103,T$112,T$116,T$122,T$128,T$138,$D$147:T$147)</f>
        <v>87.054588068778273</v>
      </c>
      <c r="U20" s="258">
        <f ca="1">SUM(U$87,U$99,U$103,U$112,U$116,U$122,U$128,U$138,$D$147:U$147)</f>
        <v>90.073619945147044</v>
      </c>
      <c r="V20" s="258">
        <f ca="1">SUM(V$87,V$99,V$103,V$112,V$116,V$122,V$128,V$138,$D$147:V$147)</f>
        <v>93.203872028113352</v>
      </c>
      <c r="W20" s="258">
        <f ca="1">SUM(W$87,W$99,W$103,W$112,W$116,W$122,W$128,W$138,$D$147:W$147)</f>
        <v>96.486906630682597</v>
      </c>
      <c r="X20" s="258">
        <f ca="1">SUM(X$87,X$99,X$103,X$112,X$116,X$122,X$128,X$138,$D$147:X$147)</f>
        <v>99.889883753047584</v>
      </c>
    </row>
    <row r="21" spans="1:24" x14ac:dyDescent="0.2">
      <c r="A21" s="220" t="s">
        <v>1051</v>
      </c>
      <c r="B21" s="69"/>
      <c r="C21"/>
      <c r="D21" s="69">
        <f>SUM(D$17,D$61,D$65,D$66,D$68)</f>
        <v>58.210999999999999</v>
      </c>
      <c r="E21" s="69">
        <f t="shared" ref="E21:X21" si="10">SUM(E$17,E$61,E$65,E$66,E$68)</f>
        <v>61.818999999999996</v>
      </c>
      <c r="F21" s="69">
        <f t="shared" si="10"/>
        <v>59.482000000000006</v>
      </c>
      <c r="G21" s="69">
        <f t="shared" si="10"/>
        <v>56.216000000000001</v>
      </c>
      <c r="H21" s="69">
        <f t="shared" si="10"/>
        <v>57.550000000000004</v>
      </c>
      <c r="I21" s="69">
        <f t="shared" si="10"/>
        <v>60.565000000000005</v>
      </c>
      <c r="J21" s="123">
        <f t="shared" si="10"/>
        <v>63.809000000000005</v>
      </c>
      <c r="K21" s="123">
        <f t="shared" si="10"/>
        <v>68.382000000000005</v>
      </c>
      <c r="L21" s="123">
        <f t="shared" si="10"/>
        <v>72.278999999999996</v>
      </c>
      <c r="M21" s="123">
        <f t="shared" si="10"/>
        <v>75.844999999999999</v>
      </c>
      <c r="N21" s="123">
        <f t="shared" si="10"/>
        <v>79.488</v>
      </c>
      <c r="O21" s="258">
        <f t="shared" ca="1" si="10"/>
        <v>83.342377845735442</v>
      </c>
      <c r="P21" s="258">
        <f t="shared" ca="1" si="10"/>
        <v>87.422217961747663</v>
      </c>
      <c r="Q21" s="258">
        <f t="shared" ca="1" si="10"/>
        <v>91.739726749913018</v>
      </c>
      <c r="R21" s="258">
        <f t="shared" ca="1" si="10"/>
        <v>96.207826633862439</v>
      </c>
      <c r="S21" s="258">
        <f t="shared" ca="1" si="10"/>
        <v>100.58212509562023</v>
      </c>
      <c r="T21" s="258">
        <f t="shared" ca="1" si="10"/>
        <v>105.06585369444642</v>
      </c>
      <c r="U21" s="258">
        <f t="shared" ca="1" si="10"/>
        <v>109.67795256037233</v>
      </c>
      <c r="V21" s="258">
        <f t="shared" ca="1" si="10"/>
        <v>114.46325804655295</v>
      </c>
      <c r="W21" s="258">
        <f t="shared" ca="1" si="10"/>
        <v>119.39506605037766</v>
      </c>
      <c r="X21" s="258">
        <f t="shared" ca="1" si="10"/>
        <v>124.46274051274391</v>
      </c>
    </row>
    <row r="22" spans="1:24" x14ac:dyDescent="0.2">
      <c r="A22" s="220" t="s">
        <v>318</v>
      </c>
      <c r="B22" s="69"/>
      <c r="C22"/>
      <c r="D22" s="262">
        <f t="shared" ref="D22:X22" si="11">D$18-D$19</f>
        <v>4.2079999999999984</v>
      </c>
      <c r="E22" s="262">
        <f t="shared" si="11"/>
        <v>4.8220000000000027</v>
      </c>
      <c r="F22" s="262">
        <f t="shared" si="11"/>
        <v>-4.519999999999996</v>
      </c>
      <c r="G22" s="262">
        <f t="shared" si="11"/>
        <v>-7.7970000000000041</v>
      </c>
      <c r="H22" s="262">
        <f t="shared" si="11"/>
        <v>-12.900000000000006</v>
      </c>
      <c r="I22" s="262">
        <f t="shared" si="11"/>
        <v>-8.5109999999999744</v>
      </c>
      <c r="J22" s="123">
        <f t="shared" ca="1" si="11"/>
        <v>-7.8400000000000034</v>
      </c>
      <c r="K22" s="123">
        <f t="shared" ca="1" si="11"/>
        <v>-3.9849999999999994</v>
      </c>
      <c r="L22" s="123">
        <f t="shared" ca="1" si="11"/>
        <v>-1.1779999999999831</v>
      </c>
      <c r="M22" s="123">
        <f t="shared" ca="1" si="11"/>
        <v>0.6670000000000158</v>
      </c>
      <c r="N22" s="123">
        <f t="shared" ca="1" si="11"/>
        <v>2.296999999999997</v>
      </c>
      <c r="O22" s="73">
        <f t="shared" ca="1" si="11"/>
        <v>4.6384589509836189</v>
      </c>
      <c r="P22" s="73">
        <f t="shared" ca="1" si="11"/>
        <v>6.4411643128056966</v>
      </c>
      <c r="Q22" s="73">
        <f t="shared" ca="1" si="11"/>
        <v>8.4849586527645329</v>
      </c>
      <c r="R22" s="73">
        <f t="shared" ca="1" si="11"/>
        <v>10.534069796882548</v>
      </c>
      <c r="S22" s="73">
        <f t="shared" ca="1" si="11"/>
        <v>12.396870720215574</v>
      </c>
      <c r="T22" s="73">
        <f t="shared" ca="1" si="11"/>
        <v>14.359906662672657</v>
      </c>
      <c r="U22" s="73">
        <f t="shared" ca="1" si="11"/>
        <v>16.438499950268664</v>
      </c>
      <c r="V22" s="73">
        <f t="shared" ca="1" si="11"/>
        <v>18.731896183673683</v>
      </c>
      <c r="W22" s="73">
        <f t="shared" ca="1" si="11"/>
        <v>21.192172702743846</v>
      </c>
      <c r="X22" s="73">
        <f t="shared" ca="1" si="11"/>
        <v>23.878897987249502</v>
      </c>
    </row>
    <row r="23" spans="1:24" x14ac:dyDescent="0.2">
      <c r="A23" s="220" t="s">
        <v>553</v>
      </c>
      <c r="B23" s="228"/>
      <c r="C23"/>
      <c r="D23" s="69">
        <f>SUM(Data!C$106:C$107)</f>
        <v>2.3029999999999999</v>
      </c>
      <c r="E23" s="69">
        <f>SUM(Data!D$106:D$107)</f>
        <v>-0.93100000000000005</v>
      </c>
      <c r="F23" s="69">
        <f>SUM(Data!E$106:E$107)</f>
        <v>-1.3420000000000001</v>
      </c>
      <c r="G23" s="69">
        <f>SUM(Data!F$106:F$107)</f>
        <v>0.79700000000000004</v>
      </c>
      <c r="H23" s="69">
        <f>SUM(Data!G$106:G$107)</f>
        <v>3.633</v>
      </c>
      <c r="I23" s="69">
        <f>SUM(Data!H$106:H$107)</f>
        <v>-3.16</v>
      </c>
      <c r="J23" s="123">
        <f>SUM(Data!I$106:I$107) + IF($L$1="Yes",#REF!,0)</f>
        <v>5.1400000000000006</v>
      </c>
      <c r="K23" s="123">
        <f>SUM(Data!J$106:J$107) + IF($L$1="Yes",#REF!,0)</f>
        <v>1.736</v>
      </c>
      <c r="L23" s="123">
        <f>SUM(Data!K$106:K$107) + IF($L$1="Yes",#REF!,0)</f>
        <v>1.829</v>
      </c>
      <c r="M23" s="123">
        <f>SUM(Data!L$106:L$107) + IF($L$1="Yes",#REF!,0)</f>
        <v>1.8859999999999999</v>
      </c>
      <c r="N23" s="123">
        <f>SUM(Data!M$106:M$107) + IF($L$1="Yes",#REF!,0)</f>
        <v>1.9549999999999998</v>
      </c>
      <c r="O23" s="258">
        <f t="shared" ref="O23:X23" si="12">SUM(N$23,O$172-N$172)</f>
        <v>1.7252822316605467</v>
      </c>
      <c r="P23" s="258">
        <f t="shared" si="12"/>
        <v>1.8323590163424563</v>
      </c>
      <c r="Q23" s="258">
        <f t="shared" si="12"/>
        <v>1.948093616153959</v>
      </c>
      <c r="R23" s="258">
        <f t="shared" si="12"/>
        <v>2.1422487823610048</v>
      </c>
      <c r="S23" s="258">
        <f t="shared" si="12"/>
        <v>2.4176626214896855</v>
      </c>
      <c r="T23" s="258">
        <f t="shared" si="12"/>
        <v>2.6850302608725682</v>
      </c>
      <c r="U23" s="258">
        <f t="shared" si="12"/>
        <v>2.9595134111707817</v>
      </c>
      <c r="V23" s="258">
        <f t="shared" si="12"/>
        <v>3.2393896506483948</v>
      </c>
      <c r="W23" s="258">
        <f t="shared" si="12"/>
        <v>3.5229293957603396</v>
      </c>
      <c r="X23" s="258">
        <f t="shared" si="12"/>
        <v>3.8077847144655883</v>
      </c>
    </row>
    <row r="24" spans="1:24" x14ac:dyDescent="0.2">
      <c r="A24" s="220" t="s">
        <v>128</v>
      </c>
      <c r="B24" s="69"/>
      <c r="C24"/>
      <c r="D24" s="262">
        <f>SUM(D$22,D$23)</f>
        <v>6.5109999999999983</v>
      </c>
      <c r="E24" s="262">
        <f t="shared" ref="E24:X24" si="13">SUM(E$22,E$23)</f>
        <v>3.8910000000000027</v>
      </c>
      <c r="F24" s="262">
        <f t="shared" si="13"/>
        <v>-5.8619999999999965</v>
      </c>
      <c r="G24" s="262">
        <f t="shared" si="13"/>
        <v>-7.0000000000000044</v>
      </c>
      <c r="H24" s="262">
        <f t="shared" si="13"/>
        <v>-9.2670000000000066</v>
      </c>
      <c r="I24" s="262">
        <f t="shared" si="13"/>
        <v>-11.670999999999975</v>
      </c>
      <c r="J24" s="123">
        <f t="shared" ca="1" si="13"/>
        <v>-2.7000000000000028</v>
      </c>
      <c r="K24" s="123">
        <f t="shared" ca="1" si="13"/>
        <v>-2.2489999999999997</v>
      </c>
      <c r="L24" s="123">
        <f t="shared" ca="1" si="13"/>
        <v>0.6510000000000169</v>
      </c>
      <c r="M24" s="123">
        <f t="shared" ca="1" si="13"/>
        <v>2.5530000000000159</v>
      </c>
      <c r="N24" s="123">
        <f t="shared" ca="1" si="13"/>
        <v>4.2519999999999971</v>
      </c>
      <c r="O24" s="73">
        <f t="shared" ca="1" si="13"/>
        <v>6.3637411826441657</v>
      </c>
      <c r="P24" s="73">
        <f t="shared" ca="1" si="13"/>
        <v>8.2735233291481531</v>
      </c>
      <c r="Q24" s="73">
        <f t="shared" ca="1" si="13"/>
        <v>10.433052268918491</v>
      </c>
      <c r="R24" s="73">
        <f t="shared" ca="1" si="13"/>
        <v>12.676318579243553</v>
      </c>
      <c r="S24" s="73">
        <f t="shared" ca="1" si="13"/>
        <v>14.81453334170526</v>
      </c>
      <c r="T24" s="73">
        <f t="shared" ca="1" si="13"/>
        <v>17.044936923545226</v>
      </c>
      <c r="U24" s="73">
        <f t="shared" ca="1" si="13"/>
        <v>19.398013361439446</v>
      </c>
      <c r="V24" s="73">
        <f t="shared" ca="1" si="13"/>
        <v>21.971285834322078</v>
      </c>
      <c r="W24" s="73">
        <f t="shared" ca="1" si="13"/>
        <v>24.715102098504186</v>
      </c>
      <c r="X24" s="73">
        <f t="shared" ca="1" si="13"/>
        <v>27.686682701715089</v>
      </c>
    </row>
    <row r="25" spans="1:24" x14ac:dyDescent="0.2">
      <c r="A25" s="220" t="s">
        <v>802</v>
      </c>
      <c r="B25" s="69"/>
      <c r="C25"/>
      <c r="D25" s="262">
        <f t="shared" ref="D25:X25" si="14">(D$18-D$69)-(D$19-D$142)</f>
        <v>3.9570000000000007</v>
      </c>
      <c r="E25" s="262">
        <f t="shared" si="14"/>
        <v>4.9380000000000024</v>
      </c>
      <c r="F25" s="262">
        <f t="shared" si="14"/>
        <v>-3.9629999999999939</v>
      </c>
      <c r="G25" s="262">
        <f t="shared" si="14"/>
        <v>-7.6210000000000022</v>
      </c>
      <c r="H25" s="262">
        <f t="shared" si="14"/>
        <v>-12.003</v>
      </c>
      <c r="I25" s="262">
        <f t="shared" si="14"/>
        <v>-6.7949999999999804</v>
      </c>
      <c r="J25" s="123">
        <f t="shared" ca="1" si="14"/>
        <v>-6.4789999999999992</v>
      </c>
      <c r="K25" s="123">
        <f t="shared" ca="1" si="14"/>
        <v>-3.0019999999999953</v>
      </c>
      <c r="L25" s="123">
        <f t="shared" ca="1" si="14"/>
        <v>-0.15799999999998704</v>
      </c>
      <c r="M25" s="123">
        <f t="shared" ca="1" si="14"/>
        <v>1.5050000000000097</v>
      </c>
      <c r="N25" s="123">
        <f t="shared" ca="1" si="14"/>
        <v>3.0659999999999883</v>
      </c>
      <c r="O25" s="73">
        <f t="shared" ca="1" si="14"/>
        <v>5.7012787802427738</v>
      </c>
      <c r="P25" s="73">
        <f t="shared" ca="1" si="14"/>
        <v>7.3997221701797429</v>
      </c>
      <c r="Q25" s="73">
        <f t="shared" ca="1" si="14"/>
        <v>9.2270816385997136</v>
      </c>
      <c r="R25" s="73">
        <f t="shared" ca="1" si="14"/>
        <v>10.94499136510187</v>
      </c>
      <c r="S25" s="73">
        <f t="shared" ca="1" si="14"/>
        <v>12.362858914363756</v>
      </c>
      <c r="T25" s="73">
        <f t="shared" ca="1" si="14"/>
        <v>13.768808729566175</v>
      </c>
      <c r="U25" s="73">
        <f t="shared" ca="1" si="14"/>
        <v>15.149600355133686</v>
      </c>
      <c r="V25" s="73">
        <f t="shared" ca="1" si="14"/>
        <v>16.587644490555149</v>
      </c>
      <c r="W25" s="73">
        <f t="shared" ca="1" si="14"/>
        <v>18.014581866825182</v>
      </c>
      <c r="X25" s="73">
        <f t="shared" ca="1" si="14"/>
        <v>19.453853640131513</v>
      </c>
    </row>
    <row r="26" spans="1:24" ht="15.75" customHeight="1" x14ac:dyDescent="0.25">
      <c r="A26" s="150" t="s">
        <v>385</v>
      </c>
      <c r="B26" s="257"/>
      <c r="C26"/>
      <c r="D26" s="262"/>
      <c r="E26" s="262"/>
      <c r="F26" s="262"/>
      <c r="G26" s="262"/>
      <c r="H26" s="262"/>
      <c r="I26" s="262"/>
      <c r="J26" s="123"/>
      <c r="K26" s="123"/>
      <c r="L26" s="123"/>
      <c r="M26" s="123"/>
      <c r="N26" s="123"/>
    </row>
    <row r="27" spans="1:24" x14ac:dyDescent="0.2">
      <c r="A27" s="27" t="s">
        <v>160</v>
      </c>
      <c r="B27" s="7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 s="220" t="s">
        <v>674</v>
      </c>
      <c r="B28" s="70"/>
      <c r="C28"/>
      <c r="D28" s="69">
        <f>SUM(D$152,D$154,D$164,D$166,D$186,D$201,$D$203:D$203,D$211)</f>
        <v>180.34899999999999</v>
      </c>
      <c r="E28" s="69">
        <f>SUM(E$152,E$154,E$164,E$166,E$186,E$201,$D$203:E$203,E$211)</f>
        <v>200.83500000000001</v>
      </c>
      <c r="F28" s="69">
        <f>SUM(F$152,F$154,F$164,F$166,F$186,F$201,$D$203:F$203,F$211)</f>
        <v>217.15100000000001</v>
      </c>
      <c r="G28" s="69">
        <f>SUM(G$152,G$154,G$164,G$166,G$186,G$201,$D$203:G$203,G$211)</f>
        <v>223.35499999999999</v>
      </c>
      <c r="H28" s="69">
        <f>SUM(H$152,H$154,H$164,H$166,H$186,H$201,$D$203:H$203,H$211)</f>
        <v>245.215</v>
      </c>
      <c r="I28" s="69">
        <f>SUM(I$152,I$154,I$164,I$166,I$186,I$201,$D$203:I$203,I$211)</f>
        <v>240.31800000000001</v>
      </c>
      <c r="J28" s="123">
        <f ca="1">SUM(J$152,J$154,J$164,J$166,J$186,J$201,$D$203:J$203,J$211)</f>
        <v>240.685</v>
      </c>
      <c r="K28" s="123">
        <f ca="1">SUM(K$152,K$154,K$164,K$166,K$186,K$201,$D$203:K$203,K$211)</f>
        <v>250.178</v>
      </c>
      <c r="L28" s="123">
        <f ca="1">SUM(L$152,L$154,L$164,L$166,L$186,L$201,$D$203:L$203,L$211)</f>
        <v>248.905</v>
      </c>
      <c r="M28" s="123">
        <f ca="1">SUM(M$152,M$154,M$164,M$166,M$186,M$201,$D$203:M$203,M$211)</f>
        <v>258.94400000000002</v>
      </c>
      <c r="N28" s="123">
        <f ca="1">SUM(N$152,N$154,N$164,N$166,N$186,N$201,$D$203:N$203,N$211)</f>
        <v>273.05200000000002</v>
      </c>
      <c r="O28" s="73">
        <f ca="1">SUM(O$152,O$154,O$164,O$166,O$186,O$201,$D$203:O$203,O$211)</f>
        <v>282.53607757758573</v>
      </c>
      <c r="P28" s="73">
        <f ca="1">SUM(P$152,P$154,P$164,P$166,P$186,P$201,$D$203:P$203,P$211)</f>
        <v>292.39578812349447</v>
      </c>
      <c r="Q28" s="73">
        <f ca="1">SUM(Q$152,Q$154,Q$164,Q$166,Q$186,Q$201,$D$203:Q$203,Q$211)</f>
        <v>302.86666989546268</v>
      </c>
      <c r="R28" s="73">
        <f ca="1">SUM(R$152,R$154,R$164,R$166,R$186,R$201,$D$203:R$203,R$211)</f>
        <v>315.51199911726991</v>
      </c>
      <c r="S28" s="73">
        <f ca="1">SUM(S$152,S$154,S$164,S$166,S$186,S$201,$D$203:S$203,S$211)</f>
        <v>328.90968250687325</v>
      </c>
      <c r="T28" s="73">
        <f ca="1">SUM(T$152,T$154,T$164,T$166,T$186,T$201,$D$203:T$203,T$211)</f>
        <v>342.85330005308049</v>
      </c>
      <c r="U28" s="73">
        <f ca="1">SUM(U$152,U$154,U$164,U$166,U$186,U$201,$D$203:U$203,U$211)</f>
        <v>357.3178706406519</v>
      </c>
      <c r="V28" s="73">
        <f ca="1">SUM(V$152,V$154,V$164,V$166,V$186,V$201,$D$203:V$203,V$211)</f>
        <v>372.34047428473315</v>
      </c>
      <c r="W28" s="73">
        <f ca="1">SUM(W$152,W$154,W$164,W$166,W$186,W$201,$D$203:W$203,W$211)</f>
        <v>387.87261803505629</v>
      </c>
      <c r="X28" s="73">
        <f ca="1">SUM(X$152,X$154,X$164,X$166,X$186,X$201,$D$203:X$203,X$211)</f>
        <v>403.91240642745635</v>
      </c>
    </row>
    <row r="29" spans="1:24" x14ac:dyDescent="0.2">
      <c r="A29" s="220" t="s">
        <v>676</v>
      </c>
      <c r="B29" s="70"/>
      <c r="C29"/>
      <c r="D29" s="69">
        <f t="shared" ref="D29:X29" si="15">SUM(D$232,D$231)</f>
        <v>41.897999999999996</v>
      </c>
      <c r="E29" s="69">
        <f t="shared" si="15"/>
        <v>46.11</v>
      </c>
      <c r="F29" s="69">
        <f t="shared" si="15"/>
        <v>61.953000000000003</v>
      </c>
      <c r="G29" s="69">
        <f t="shared" si="15"/>
        <v>69.733000000000004</v>
      </c>
      <c r="H29" s="69">
        <f t="shared" si="15"/>
        <v>90.245000000000005</v>
      </c>
      <c r="I29" s="69">
        <f t="shared" si="15"/>
        <v>100.53399999999999</v>
      </c>
      <c r="J29" s="123">
        <f t="shared" si="15"/>
        <v>100.78</v>
      </c>
      <c r="K29" s="123">
        <f t="shared" si="15"/>
        <v>112.20099999999999</v>
      </c>
      <c r="L29" s="123">
        <f t="shared" si="15"/>
        <v>109.67699999999999</v>
      </c>
      <c r="M29" s="123">
        <f t="shared" si="15"/>
        <v>115.22800000000001</v>
      </c>
      <c r="N29" s="123">
        <f t="shared" si="15"/>
        <v>123.12199999999999</v>
      </c>
      <c r="O29" s="73">
        <f t="shared" ca="1" si="15"/>
        <v>123.1874273683211</v>
      </c>
      <c r="P29" s="73">
        <f t="shared" ca="1" si="15"/>
        <v>121.57398398932949</v>
      </c>
      <c r="Q29" s="73">
        <f t="shared" ca="1" si="15"/>
        <v>118.24888949126914</v>
      </c>
      <c r="R29" s="73">
        <f t="shared" ca="1" si="15"/>
        <v>114.72425717400549</v>
      </c>
      <c r="S29" s="73">
        <f t="shared" ca="1" si="15"/>
        <v>109.70451696126827</v>
      </c>
      <c r="T29" s="73">
        <f t="shared" ca="1" si="15"/>
        <v>102.92671542056199</v>
      </c>
      <c r="U29" s="73">
        <f t="shared" ca="1" si="15"/>
        <v>94.249727795601459</v>
      </c>
      <c r="V29" s="73">
        <f t="shared" ca="1" si="15"/>
        <v>83.491497019162381</v>
      </c>
      <c r="W29" s="73">
        <f t="shared" ca="1" si="15"/>
        <v>70.472749582597956</v>
      </c>
      <c r="X29" s="73">
        <f t="shared" ca="1" si="15"/>
        <v>54.969255838072932</v>
      </c>
    </row>
    <row r="30" spans="1:24" x14ac:dyDescent="0.2">
      <c r="A30" s="220" t="s">
        <v>668</v>
      </c>
      <c r="B30" s="70"/>
      <c r="C30"/>
      <c r="D30" s="69">
        <f t="shared" ref="D30:X30" si="16">D$228</f>
        <v>41.624000000000002</v>
      </c>
      <c r="E30" s="69">
        <f t="shared" si="16"/>
        <v>49.210999999999999</v>
      </c>
      <c r="F30" s="69">
        <f t="shared" si="16"/>
        <v>55.683</v>
      </c>
      <c r="G30" s="69">
        <f t="shared" si="16"/>
        <v>58.634</v>
      </c>
      <c r="H30" s="69">
        <f t="shared" si="16"/>
        <v>74.082999999999998</v>
      </c>
      <c r="I30" s="69">
        <f t="shared" si="16"/>
        <v>80.004000000000005</v>
      </c>
      <c r="J30" s="123">
        <f t="shared" si="16"/>
        <v>76.635000000000005</v>
      </c>
      <c r="K30" s="123">
        <f t="shared" si="16"/>
        <v>72.795000000000016</v>
      </c>
      <c r="L30" s="123">
        <f t="shared" si="16"/>
        <v>69.798999999999992</v>
      </c>
      <c r="M30" s="123">
        <f t="shared" si="16"/>
        <v>69.213000000000008</v>
      </c>
      <c r="N30" s="123">
        <f t="shared" si="16"/>
        <v>69.924000000000007</v>
      </c>
      <c r="O30" s="73">
        <f t="shared" ca="1" si="16"/>
        <v>71.71984464451468</v>
      </c>
      <c r="P30" s="73">
        <f t="shared" ca="1" si="16"/>
        <v>73.583439876575895</v>
      </c>
      <c r="Q30" s="73">
        <f t="shared" ca="1" si="16"/>
        <v>75.546794152078903</v>
      </c>
      <c r="R30" s="73">
        <f t="shared" ca="1" si="16"/>
        <v>77.586617553837769</v>
      </c>
      <c r="S30" s="73">
        <f t="shared" ca="1" si="16"/>
        <v>79.693177477428065</v>
      </c>
      <c r="T30" s="73">
        <f t="shared" ca="1" si="16"/>
        <v>81.853713966739448</v>
      </c>
      <c r="U30" s="73">
        <f t="shared" ca="1" si="16"/>
        <v>84.084193329357717</v>
      </c>
      <c r="V30" s="73">
        <f t="shared" ca="1" si="16"/>
        <v>86.407008269426825</v>
      </c>
      <c r="W30" s="73">
        <f t="shared" ca="1" si="16"/>
        <v>88.814365738922305</v>
      </c>
      <c r="X30" s="73">
        <f t="shared" ca="1" si="16"/>
        <v>91.299151600381137</v>
      </c>
    </row>
    <row r="31" spans="1:24" x14ac:dyDescent="0.2">
      <c r="A31" s="220" t="s">
        <v>297</v>
      </c>
      <c r="B31" s="70"/>
      <c r="C31"/>
      <c r="D31" s="69">
        <f t="shared" ref="D31:X31" si="17">D$28-SUM(D$29,D$30)</f>
        <v>96.826999999999998</v>
      </c>
      <c r="E31" s="69">
        <f t="shared" si="17"/>
        <v>105.51400000000001</v>
      </c>
      <c r="F31" s="69">
        <f t="shared" si="17"/>
        <v>99.515000000000015</v>
      </c>
      <c r="G31" s="69">
        <f t="shared" si="17"/>
        <v>94.987999999999971</v>
      </c>
      <c r="H31" s="69">
        <f t="shared" si="17"/>
        <v>80.887</v>
      </c>
      <c r="I31" s="69">
        <f t="shared" si="17"/>
        <v>59.78</v>
      </c>
      <c r="J31" s="123">
        <f t="shared" ca="1" si="17"/>
        <v>63.269999999999982</v>
      </c>
      <c r="K31" s="123">
        <f t="shared" ca="1" si="17"/>
        <v>65.181999999999988</v>
      </c>
      <c r="L31" s="123">
        <f t="shared" ca="1" si="17"/>
        <v>69.429000000000002</v>
      </c>
      <c r="M31" s="123">
        <f t="shared" ca="1" si="17"/>
        <v>74.502999999999986</v>
      </c>
      <c r="N31" s="123">
        <f t="shared" ca="1" si="17"/>
        <v>80.006000000000029</v>
      </c>
      <c r="O31" s="73">
        <f t="shared" ca="1" si="17"/>
        <v>87.628805564749939</v>
      </c>
      <c r="P31" s="73">
        <f t="shared" ca="1" si="17"/>
        <v>97.238364257589069</v>
      </c>
      <c r="Q31" s="73">
        <f t="shared" ca="1" si="17"/>
        <v>109.07098625211464</v>
      </c>
      <c r="R31" s="73">
        <f t="shared" ca="1" si="17"/>
        <v>123.20112438942664</v>
      </c>
      <c r="S31" s="73">
        <f t="shared" ca="1" si="17"/>
        <v>139.51198806817692</v>
      </c>
      <c r="T31" s="73">
        <f t="shared" ca="1" si="17"/>
        <v>158.07287066577905</v>
      </c>
      <c r="U31" s="73">
        <f t="shared" ca="1" si="17"/>
        <v>178.98394951569273</v>
      </c>
      <c r="V31" s="73">
        <f t="shared" ca="1" si="17"/>
        <v>202.44196899614394</v>
      </c>
      <c r="W31" s="73">
        <f t="shared" ca="1" si="17"/>
        <v>228.58550271353602</v>
      </c>
      <c r="X31" s="73">
        <f t="shared" ca="1" si="17"/>
        <v>257.64399898900228</v>
      </c>
    </row>
    <row r="32" spans="1:24" x14ac:dyDescent="0.2">
      <c r="A32" s="27" t="s">
        <v>162</v>
      </c>
      <c r="B32" s="395"/>
      <c r="C32"/>
      <c r="D32" s="69"/>
      <c r="E32" s="69"/>
      <c r="F32" s="69"/>
      <c r="G32" s="69"/>
      <c r="H32" s="69"/>
      <c r="I32" s="69"/>
      <c r="J32" s="123"/>
      <c r="K32" s="123"/>
      <c r="L32" s="123"/>
      <c r="M32" s="123"/>
      <c r="N32" s="123"/>
    </row>
    <row r="33" spans="1:24" x14ac:dyDescent="0.2">
      <c r="A33" s="220" t="s">
        <v>674</v>
      </c>
      <c r="B33" s="70"/>
      <c r="C33"/>
      <c r="D33" s="69">
        <f>SUM(D$151,D$153,D$161,D$165,D$185,D$199,$D$203:D$203,D$210)</f>
        <v>105.21299999999999</v>
      </c>
      <c r="E33" s="69">
        <f>SUM(E$151,E$153,E$161,E$165,E$185,E$199,$D$203:E$203,E$210)</f>
        <v>116.18199999999999</v>
      </c>
      <c r="F33" s="69">
        <f>SUM(F$151,F$153,F$161,F$165,F$185,F$199,$D$203:F$203,F$210)</f>
        <v>126.19999999999999</v>
      </c>
      <c r="G33" s="69">
        <f>SUM(G$151,G$153,G$161,G$165,G$185,G$199,$D$203:G$203,G$210)</f>
        <v>127.215</v>
      </c>
      <c r="H33" s="69">
        <f>SUM(H$151,H$153,H$161,H$165,H$185,H$199,$D$203:H$203,H$210)</f>
        <v>138.965</v>
      </c>
      <c r="I33" s="69">
        <f>SUM(I$151,I$153,I$161,I$165,I$185,I$199,$D$203:I$203,I$210)</f>
        <v>138.40899999999999</v>
      </c>
      <c r="J33" s="123">
        <f ca="1">SUM(J$151,J$153,J$161,J$165,J$185,J$199,$D$203:J$203,J$210)</f>
        <v>136.154</v>
      </c>
      <c r="K33" s="123">
        <f ca="1">SUM(K$151,K$153,K$161,K$165,K$185,K$199,$D$203:K$203,K$210)</f>
        <v>143.261</v>
      </c>
      <c r="L33" s="123">
        <f ca="1">SUM(L$151,L$153,L$161,L$165,L$185,L$199,$D$203:L$203,L$210)</f>
        <v>139.953</v>
      </c>
      <c r="M33" s="123">
        <f ca="1">SUM(M$151,M$153,M$161,M$165,M$185,M$199,$D$203:M$203,M$210)</f>
        <v>147.489</v>
      </c>
      <c r="N33" s="123">
        <f ca="1">SUM(N$151,N$153,N$161,N$165,N$185,N$199,$D$203:N$203,N$210)</f>
        <v>158.11199999999999</v>
      </c>
      <c r="O33" s="73">
        <f ca="1">SUM(O$151,O$153,O$161,O$165,O$185,O$199,$D$203:O$203,O$210)</f>
        <v>162.8886378150259</v>
      </c>
      <c r="P33" s="73">
        <f ca="1">SUM(P$151,P$153,P$161,P$165,P$185,P$199,$D$203:P$203,P$210)</f>
        <v>167.5768811529592</v>
      </c>
      <c r="Q33" s="73">
        <f ca="1">SUM(Q$151,Q$153,Q$161,Q$165,Q$185,Q$199,$D$203:Q$203,Q$210)</f>
        <v>172.3272023104895</v>
      </c>
      <c r="R33" s="73">
        <f ca="1">SUM(R$151,R$153,R$161,R$165,R$185,R$199,$D$203:R$203,R$210)</f>
        <v>178.98673060498055</v>
      </c>
      <c r="S33" s="73">
        <f ca="1">SUM(S$151,S$153,S$161,S$165,S$185,S$199,$D$203:S$203,S$210)</f>
        <v>185.99225934258769</v>
      </c>
      <c r="T33" s="73">
        <f ca="1">SUM(T$151,T$153,T$161,T$165,T$185,T$199,$D$203:T$203,T$210)</f>
        <v>193.16961941099947</v>
      </c>
      <c r="U33" s="73">
        <f ca="1">SUM(U$151,U$153,U$161,U$165,U$185,U$199,$D$203:U$203,U$210)</f>
        <v>200.48722765134636</v>
      </c>
      <c r="V33" s="73">
        <f ca="1">SUM(V$151,V$153,V$161,V$165,V$185,V$199,$D$203:V$203,V$210)</f>
        <v>207.93487273949063</v>
      </c>
      <c r="W33" s="73">
        <f ca="1">SUM(W$151,W$153,W$161,W$165,W$185,W$199,$D$203:W$203,W$210)</f>
        <v>215.49738088976346</v>
      </c>
      <c r="X33" s="73">
        <f ca="1">SUM(X$151,X$153,X$161,X$165,X$185,X$199,$D$203:X$203,X$210)</f>
        <v>223.14935592638383</v>
      </c>
    </row>
    <row r="34" spans="1:24" x14ac:dyDescent="0.2">
      <c r="A34" s="220" t="s">
        <v>1053</v>
      </c>
      <c r="B34" s="70"/>
      <c r="C34"/>
      <c r="D34" s="69">
        <f>SUM(D$151,D$153,D$161,D$185,D$199,$D$203:D$203,D$210)</f>
        <v>105.21299999999999</v>
      </c>
      <c r="E34" s="69">
        <f>SUM(E$151,E$153,E$161,E$185,E$199,$D$203:E$203,E$210)</f>
        <v>116.18199999999999</v>
      </c>
      <c r="F34" s="69">
        <f>SUM(F$151,F$153,F$161,F$185,F$199,$D$203:F$203,F$210)</f>
        <v>126.19999999999999</v>
      </c>
      <c r="G34" s="69">
        <f>SUM(G$151,G$153,G$161,G$185,G$199,$D$203:G$203,G$210)</f>
        <v>127.215</v>
      </c>
      <c r="H34" s="69">
        <f>SUM(H$151,H$153,H$161,H$185,H$199,$D$203:H$203,H$210)</f>
        <v>138.965</v>
      </c>
      <c r="I34" s="69">
        <f>SUM(I$151,I$153,I$161,I$185,I$199,$D$203:I$203,I$210)</f>
        <v>138.40899999999999</v>
      </c>
      <c r="J34" s="123">
        <f ca="1">SUM(J$151,J$153,J$161,J$185,J$199,$D$203:J$203,J$210)</f>
        <v>136.154</v>
      </c>
      <c r="K34" s="123">
        <f ca="1">SUM(K$151,K$153,K$161,K$185,K$199,$D$203:K$203,K$210)</f>
        <v>143.261</v>
      </c>
      <c r="L34" s="123">
        <f ca="1">SUM(L$151,L$153,L$161,L$185,L$199,$D$203:L$203,L$210)</f>
        <v>139.953</v>
      </c>
      <c r="M34" s="123">
        <f ca="1">SUM(M$151,M$153,M$161,M$185,M$199,$D$203:M$203,M$210)</f>
        <v>147.489</v>
      </c>
      <c r="N34" s="123">
        <f ca="1">SUM(N$151,N$153,N$161,N$185,N$199,$D$203:N$203,N$210)</f>
        <v>158.11199999999999</v>
      </c>
      <c r="O34" s="73">
        <f ca="1">SUM(O$151,O$153,O$161,O$185,O$199,$D$203:O$203,O$210)</f>
        <v>162.8886378150259</v>
      </c>
      <c r="P34" s="73">
        <f ca="1">SUM(P$151,P$153,P$161,P$185,P$199,$D$203:P$203,P$210)</f>
        <v>167.5768811529592</v>
      </c>
      <c r="Q34" s="73">
        <f ca="1">SUM(Q$151,Q$153,Q$161,Q$185,Q$199,$D$203:Q$203,Q$210)</f>
        <v>172.3272023104895</v>
      </c>
      <c r="R34" s="73">
        <f ca="1">SUM(R$151,R$153,R$161,R$185,R$199,$D$203:R$203,R$210)</f>
        <v>178.98673060498055</v>
      </c>
      <c r="S34" s="73">
        <f ca="1">SUM(S$151,S$153,S$161,S$185,S$199,$D$203:S$203,S$210)</f>
        <v>185.99225934258769</v>
      </c>
      <c r="T34" s="73">
        <f ca="1">SUM(T$151,T$153,T$161,T$185,T$199,$D$203:T$203,T$210)</f>
        <v>193.16961941099947</v>
      </c>
      <c r="U34" s="73">
        <f ca="1">SUM(U$151,U$153,U$161,U$185,U$199,$D$203:U$203,U$210)</f>
        <v>200.48722765134636</v>
      </c>
      <c r="V34" s="73">
        <f ca="1">SUM(V$151,V$153,V$161,V$185,V$199,$D$203:V$203,V$210)</f>
        <v>207.93487273949063</v>
      </c>
      <c r="W34" s="73">
        <f ca="1">SUM(W$151,W$153,W$161,W$185,W$199,$D$203:W$203,W$210)</f>
        <v>215.49738088976346</v>
      </c>
      <c r="X34" s="73">
        <f ca="1">SUM(X$151,X$153,X$161,X$185,X$199,$D$203:X$203,X$210)</f>
        <v>223.14935592638383</v>
      </c>
    </row>
    <row r="35" spans="1:24" x14ac:dyDescent="0.2">
      <c r="A35" s="220" t="s">
        <v>669</v>
      </c>
      <c r="B35" s="101"/>
      <c r="C35"/>
      <c r="D35" s="69">
        <f t="shared" ref="D35:X35" si="18">D$234</f>
        <v>35.892000000000003</v>
      </c>
      <c r="E35" s="69">
        <f t="shared" si="18"/>
        <v>37.335999999999999</v>
      </c>
      <c r="F35" s="69">
        <f t="shared" si="18"/>
        <v>50.545000000000002</v>
      </c>
      <c r="G35" s="69">
        <f t="shared" si="18"/>
        <v>58.582999999999998</v>
      </c>
      <c r="H35" s="69">
        <f t="shared" si="18"/>
        <v>76.885000000000005</v>
      </c>
      <c r="I35" s="69">
        <f t="shared" si="18"/>
        <v>84.68</v>
      </c>
      <c r="J35" s="123">
        <f t="shared" si="18"/>
        <v>85.31</v>
      </c>
      <c r="K35" s="123">
        <f t="shared" si="18"/>
        <v>94.504000000000005</v>
      </c>
      <c r="L35" s="123">
        <f t="shared" si="18"/>
        <v>90.088999999999999</v>
      </c>
      <c r="M35" s="123">
        <f t="shared" si="18"/>
        <v>94.584000000000003</v>
      </c>
      <c r="N35" s="123">
        <f t="shared" si="18"/>
        <v>101.077</v>
      </c>
      <c r="O35" s="73">
        <f t="shared" ca="1" si="18"/>
        <v>99.400447655023413</v>
      </c>
      <c r="P35" s="73">
        <f t="shared" ca="1" si="18"/>
        <v>95.730164309736054</v>
      </c>
      <c r="Q35" s="73">
        <f t="shared" ca="1" si="18"/>
        <v>89.980577851751605</v>
      </c>
      <c r="R35" s="73">
        <f t="shared" ca="1" si="18"/>
        <v>83.907753298496971</v>
      </c>
      <c r="S35" s="73">
        <f t="shared" ca="1" si="18"/>
        <v>76.051347435024255</v>
      </c>
      <c r="T35" s="73">
        <f t="shared" ca="1" si="18"/>
        <v>66.136641952618845</v>
      </c>
      <c r="U35" s="73">
        <f t="shared" ca="1" si="18"/>
        <v>53.997932949686721</v>
      </c>
      <c r="V35" s="73">
        <f t="shared" ca="1" si="18"/>
        <v>39.403645302380411</v>
      </c>
      <c r="W35" s="73">
        <f t="shared" ca="1" si="18"/>
        <v>22.163806052542913</v>
      </c>
      <c r="X35" s="73">
        <f t="shared" ca="1" si="18"/>
        <v>2.028194466909921</v>
      </c>
    </row>
    <row r="36" spans="1:24" x14ac:dyDescent="0.2">
      <c r="A36" s="220" t="s">
        <v>670</v>
      </c>
      <c r="B36" s="101"/>
      <c r="C36"/>
      <c r="D36" s="69">
        <f t="shared" ref="D36:X36" si="19">D$225</f>
        <v>18.530999999999995</v>
      </c>
      <c r="E36" s="69">
        <f t="shared" si="19"/>
        <v>21.863000000000003</v>
      </c>
      <c r="F36" s="69">
        <f t="shared" si="19"/>
        <v>22.586000000000002</v>
      </c>
      <c r="G36" s="69">
        <f t="shared" si="19"/>
        <v>23.963000000000001</v>
      </c>
      <c r="H36" s="69">
        <f t="shared" si="19"/>
        <v>27.148999999999994</v>
      </c>
      <c r="I36" s="69">
        <f t="shared" si="19"/>
        <v>30.357999999999997</v>
      </c>
      <c r="J36" s="123">
        <f t="shared" si="19"/>
        <v>28.881</v>
      </c>
      <c r="K36" s="123">
        <f t="shared" si="19"/>
        <v>27.742999999999999</v>
      </c>
      <c r="L36" s="123">
        <f t="shared" si="19"/>
        <v>26.871000000000006</v>
      </c>
      <c r="M36" s="123">
        <f t="shared" si="19"/>
        <v>26.02399999999999</v>
      </c>
      <c r="N36" s="123">
        <f t="shared" si="19"/>
        <v>25.889000000000003</v>
      </c>
      <c r="O36" s="73">
        <f t="shared" ca="1" si="19"/>
        <v>25.95994897735833</v>
      </c>
      <c r="P36" s="73">
        <f t="shared" ca="1" si="19"/>
        <v>26.026206281430845</v>
      </c>
      <c r="Q36" s="73">
        <f t="shared" ca="1" si="19"/>
        <v>26.074066255562105</v>
      </c>
      <c r="R36" s="73">
        <f t="shared" ca="1" si="19"/>
        <v>26.110852513145453</v>
      </c>
      <c r="S36" s="73">
        <f t="shared" ca="1" si="19"/>
        <v>26.138749763056047</v>
      </c>
      <c r="T36" s="73">
        <f t="shared" ca="1" si="19"/>
        <v>26.16611497753815</v>
      </c>
      <c r="U36" s="73">
        <f t="shared" ca="1" si="19"/>
        <v>26.204392593197738</v>
      </c>
      <c r="V36" s="73">
        <f t="shared" ca="1" si="19"/>
        <v>26.254746878806067</v>
      </c>
      <c r="W36" s="73">
        <f t="shared" ca="1" si="19"/>
        <v>26.321429673105619</v>
      </c>
      <c r="X36" s="73">
        <f t="shared" ca="1" si="19"/>
        <v>26.401497604990123</v>
      </c>
    </row>
    <row r="37" spans="1:24" x14ac:dyDescent="0.2">
      <c r="A37" s="220" t="s">
        <v>297</v>
      </c>
      <c r="B37" s="101"/>
      <c r="C37"/>
      <c r="D37" s="69">
        <f>D$33-SUM(D$35,D$36)</f>
        <v>50.789999999999992</v>
      </c>
      <c r="E37" s="69">
        <f t="shared" ref="E37:X37" si="20">E$33-SUM(E$35,E$36)</f>
        <v>56.98299999999999</v>
      </c>
      <c r="F37" s="69">
        <f t="shared" si="20"/>
        <v>53.068999999999988</v>
      </c>
      <c r="G37" s="69">
        <f t="shared" si="20"/>
        <v>44.669000000000011</v>
      </c>
      <c r="H37" s="69">
        <f t="shared" si="20"/>
        <v>34.931000000000012</v>
      </c>
      <c r="I37" s="69">
        <f t="shared" si="20"/>
        <v>23.370999999999981</v>
      </c>
      <c r="J37" s="123">
        <f t="shared" ca="1" si="20"/>
        <v>21.962999999999994</v>
      </c>
      <c r="K37" s="123">
        <f t="shared" ca="1" si="20"/>
        <v>21.013999999999996</v>
      </c>
      <c r="L37" s="123">
        <f t="shared" ca="1" si="20"/>
        <v>22.992999999999995</v>
      </c>
      <c r="M37" s="123">
        <f t="shared" ca="1" si="20"/>
        <v>26.881000000000014</v>
      </c>
      <c r="N37" s="123">
        <f t="shared" ca="1" si="20"/>
        <v>31.145999999999987</v>
      </c>
      <c r="O37" s="73">
        <f t="shared" ca="1" si="20"/>
        <v>37.528241182644166</v>
      </c>
      <c r="P37" s="73">
        <f t="shared" ca="1" si="20"/>
        <v>45.820510561792304</v>
      </c>
      <c r="Q37" s="73">
        <f t="shared" ca="1" si="20"/>
        <v>56.272558203175791</v>
      </c>
      <c r="R37" s="73">
        <f t="shared" ca="1" si="20"/>
        <v>68.96812479333812</v>
      </c>
      <c r="S37" s="73">
        <f t="shared" ca="1" si="20"/>
        <v>83.802162144507378</v>
      </c>
      <c r="T37" s="73">
        <f t="shared" ca="1" si="20"/>
        <v>100.86686248084249</v>
      </c>
      <c r="U37" s="73">
        <f t="shared" ca="1" si="20"/>
        <v>120.28490210846189</v>
      </c>
      <c r="V37" s="73">
        <f t="shared" ca="1" si="20"/>
        <v>142.27648055830414</v>
      </c>
      <c r="W37" s="73">
        <f t="shared" ca="1" si="20"/>
        <v>167.01214516411494</v>
      </c>
      <c r="X37" s="73">
        <f t="shared" ca="1" si="20"/>
        <v>194.7196638544838</v>
      </c>
    </row>
    <row r="38" spans="1:24" x14ac:dyDescent="0.2">
      <c r="A38" s="220" t="s">
        <v>1056</v>
      </c>
      <c r="B38" s="101"/>
      <c r="C38"/>
      <c r="D38" s="69">
        <f t="shared" ref="D38:O38" si="21">D$236</f>
        <v>36.805</v>
      </c>
      <c r="E38" s="69">
        <f t="shared" si="21"/>
        <v>37.744999999999997</v>
      </c>
      <c r="F38" s="69">
        <f t="shared" si="21"/>
        <v>50.972999999999999</v>
      </c>
      <c r="G38" s="69">
        <f t="shared" si="21"/>
        <v>58.890999999999998</v>
      </c>
      <c r="H38" s="69">
        <f t="shared" si="21"/>
        <v>77.290000000000006</v>
      </c>
      <c r="I38" s="69">
        <f t="shared" si="21"/>
        <v>84.168000000000006</v>
      </c>
      <c r="J38" s="123">
        <f t="shared" si="21"/>
        <v>84.427000000000007</v>
      </c>
      <c r="K38" s="123">
        <f t="shared" si="21"/>
        <v>93.477000000000004</v>
      </c>
      <c r="L38" s="123">
        <f t="shared" si="21"/>
        <v>88.947999999999993</v>
      </c>
      <c r="M38" s="123">
        <f t="shared" si="21"/>
        <v>93.296000000000006</v>
      </c>
      <c r="N38" s="123">
        <f t="shared" si="21"/>
        <v>99.736000000000004</v>
      </c>
      <c r="O38" s="73">
        <f t="shared" ca="1" si="21"/>
        <v>99.400447655023413</v>
      </c>
      <c r="P38" s="73">
        <f t="shared" ref="P38:X38" ca="1" si="22">P$236</f>
        <v>95.730164309736054</v>
      </c>
      <c r="Q38" s="73">
        <f t="shared" ca="1" si="22"/>
        <v>89.980577851751605</v>
      </c>
      <c r="R38" s="73">
        <f t="shared" ca="1" si="22"/>
        <v>83.907753298496971</v>
      </c>
      <c r="S38" s="73">
        <f t="shared" ca="1" si="22"/>
        <v>76.051347435024255</v>
      </c>
      <c r="T38" s="73">
        <f t="shared" ca="1" si="22"/>
        <v>66.136641952618845</v>
      </c>
      <c r="U38" s="73">
        <f t="shared" ca="1" si="22"/>
        <v>53.997932949686721</v>
      </c>
      <c r="V38" s="73">
        <f t="shared" ca="1" si="22"/>
        <v>39.403645302380411</v>
      </c>
      <c r="W38" s="73">
        <f t="shared" ca="1" si="22"/>
        <v>22.163806052542913</v>
      </c>
      <c r="X38" s="73">
        <f t="shared" ca="1" si="22"/>
        <v>2.028194466909921</v>
      </c>
    </row>
    <row r="39" spans="1:24" x14ac:dyDescent="0.2">
      <c r="A39" s="220" t="s">
        <v>671</v>
      </c>
      <c r="B39" s="101"/>
      <c r="C39"/>
      <c r="D39" s="262">
        <f t="shared" ref="D39:X39" si="23">D$236-SUM(D$151,D$161,D$183)+SUM(D$179,D$212)-D$165</f>
        <v>13.195999999999998</v>
      </c>
      <c r="E39" s="262">
        <f t="shared" si="23"/>
        <v>10.257999999999997</v>
      </c>
      <c r="F39" s="262">
        <f t="shared" si="23"/>
        <v>17.119000000000003</v>
      </c>
      <c r="G39" s="262">
        <f t="shared" si="23"/>
        <v>26.738</v>
      </c>
      <c r="H39" s="262">
        <f t="shared" si="23"/>
        <v>40.128</v>
      </c>
      <c r="I39" s="262">
        <f t="shared" si="23"/>
        <v>50.671000000000021</v>
      </c>
      <c r="J39" s="263">
        <f t="shared" si="23"/>
        <v>57.945000000000007</v>
      </c>
      <c r="K39" s="263">
        <f t="shared" si="23"/>
        <v>64.765000000000001</v>
      </c>
      <c r="L39" s="263">
        <f t="shared" si="23"/>
        <v>68.233000000000004</v>
      </c>
      <c r="M39" s="263">
        <f t="shared" si="23"/>
        <v>69.680000000000007</v>
      </c>
      <c r="N39" s="263">
        <f t="shared" si="23"/>
        <v>70.275000000000006</v>
      </c>
      <c r="O39" s="258">
        <f t="shared" ca="1" si="23"/>
        <v>69.611342245649269</v>
      </c>
      <c r="P39" s="258">
        <f t="shared" ca="1" si="23"/>
        <v>65.640207295524718</v>
      </c>
      <c r="Q39" s="258">
        <f t="shared" ca="1" si="23"/>
        <v>59.607302167253103</v>
      </c>
      <c r="R39" s="258">
        <f t="shared" ca="1" si="23"/>
        <v>53.968593842555983</v>
      </c>
      <c r="S39" s="258">
        <f t="shared" ca="1" si="23"/>
        <v>46.573865801608406</v>
      </c>
      <c r="T39" s="258">
        <f t="shared" ca="1" si="23"/>
        <v>37.144813476947427</v>
      </c>
      <c r="U39" s="258">
        <f t="shared" ca="1" si="23"/>
        <v>25.502963262007043</v>
      </c>
      <c r="V39" s="258">
        <f t="shared" ca="1" si="23"/>
        <v>11.41286038553045</v>
      </c>
      <c r="W39" s="258">
        <f t="shared" ca="1" si="23"/>
        <v>-5.3292204464451345</v>
      </c>
      <c r="X39" s="258">
        <f t="shared" ca="1" si="23"/>
        <v>-24.982594576817789</v>
      </c>
    </row>
    <row r="40" spans="1:24" ht="13.5" x14ac:dyDescent="0.25">
      <c r="A40" s="154" t="s">
        <v>507</v>
      </c>
      <c r="B40" s="42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 s="220" t="s">
        <v>592</v>
      </c>
      <c r="B41" s="228"/>
      <c r="C41"/>
      <c r="D41" s="266" t="str">
        <f>IF(ROUND(Data!C$17-D$15,3)=0,"OK","ERROR")</f>
        <v>OK</v>
      </c>
      <c r="E41" s="266" t="str">
        <f>IF(ROUND(Data!D$17-E$15,3)=0,"OK","ERROR")</f>
        <v>OK</v>
      </c>
      <c r="F41" s="266" t="str">
        <f>IF(ROUND(Data!E$17-F$15,3)=0,"OK","ERROR")</f>
        <v>OK</v>
      </c>
      <c r="G41" s="266" t="str">
        <f>IF(ROUND(Data!F$17-G$15,3)=0,"OK","ERROR")</f>
        <v>OK</v>
      </c>
      <c r="H41" s="266" t="str">
        <f>IF(ROUND(Data!G$17-H$15,3)=0,"OK","ERROR")</f>
        <v>OK</v>
      </c>
      <c r="I41" s="266" t="str">
        <f>IF(ROUND(Data!H$17-I$15,3)=0,"OK","ERROR")</f>
        <v>OK</v>
      </c>
      <c r="J41" s="155" t="str">
        <f ca="1">IF(ROUND(Data!I$17-J$15,3)=0,"OK","ERROR")</f>
        <v>OK</v>
      </c>
      <c r="K41" s="155" t="str">
        <f ca="1">IF(ROUND(Data!J$17-K$15,3)=0,"OK","ERROR")</f>
        <v>OK</v>
      </c>
      <c r="L41" s="155" t="str">
        <f ca="1">IF(ROUND(Data!K$17-L$15,3)=0,"OK","ERROR")</f>
        <v>OK</v>
      </c>
      <c r="M41" s="155" t="str">
        <f ca="1">IF(ROUND(Data!L$17-M$15,3)=0,"OK","ERROR")</f>
        <v>OK</v>
      </c>
      <c r="N41" s="155" t="str">
        <f ca="1">IF(ROUND(Data!M$17-N$15,3)=0,"OK","ERROR")</f>
        <v>OK</v>
      </c>
    </row>
    <row r="42" spans="1:24" x14ac:dyDescent="0.2">
      <c r="A42" s="220" t="s">
        <v>508</v>
      </c>
      <c r="B42" s="228"/>
      <c r="C42"/>
      <c r="D42" s="266" t="str">
        <f>IF(ROUND(Data!C$108-D$24,3)=0,"OK","ERROR")</f>
        <v>OK</v>
      </c>
      <c r="E42" s="266" t="str">
        <f>IF(ROUND(Data!D$108-E$24,3)=0,"OK","ERROR")</f>
        <v>OK</v>
      </c>
      <c r="F42" s="266" t="str">
        <f>IF(ROUND(Data!E$108-F$24,3)=0,"OK","ERROR")</f>
        <v>OK</v>
      </c>
      <c r="G42" s="266" t="str">
        <f>IF(ROUND(Data!F$108-G$24,3)=0,"OK","ERROR")</f>
        <v>OK</v>
      </c>
      <c r="H42" s="266" t="str">
        <f>IF(ROUND(Data!G$108-H$24,3)=0,"OK","ERROR")</f>
        <v>OK</v>
      </c>
      <c r="I42" s="266" t="str">
        <f>IF(ROUND(Data!H$108-I$24,3)=0,"OK","ERROR")</f>
        <v>OK</v>
      </c>
      <c r="J42" s="155" t="str">
        <f ca="1">IF(ROUND(Data!I$108-J$24,3)=0,"OK","ERROR")</f>
        <v>OK</v>
      </c>
      <c r="K42" s="155" t="str">
        <f ca="1">IF(ROUND(Data!J$108-K$24,3)=0,"OK","ERROR")</f>
        <v>OK</v>
      </c>
      <c r="L42" s="155" t="str">
        <f ca="1">IF(ROUND(Data!K$108-L$24,3)=0,"OK","ERROR")</f>
        <v>OK</v>
      </c>
      <c r="M42" s="155" t="str">
        <f ca="1">IF(ROUND(Data!L$108-M$24,3)=0,"OK","ERROR")</f>
        <v>OK</v>
      </c>
      <c r="N42" s="155" t="str">
        <f ca="1">IF(ROUND(Data!M$108-N$24,3)=0,"OK","ERROR")</f>
        <v>OK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x14ac:dyDescent="0.2">
      <c r="A43" s="220" t="s">
        <v>509</v>
      </c>
      <c r="B43" s="228"/>
      <c r="C43"/>
      <c r="D43" s="266" t="str">
        <f>IF(ROUND(Data!C$79-D$31,3)=0,"OK","ERROR")</f>
        <v>OK</v>
      </c>
      <c r="E43" s="266" t="str">
        <f>IF(ROUND(Data!D$79-E$31,3)=0,"OK","ERROR")</f>
        <v>OK</v>
      </c>
      <c r="F43" s="266" t="str">
        <f>IF(ROUND(Data!E$79-F$31,3)=0,"OK","ERROR")</f>
        <v>OK</v>
      </c>
      <c r="G43" s="266" t="str">
        <f>IF(ROUND(Data!F$79-G$31,3)=0,"OK","ERROR")</f>
        <v>OK</v>
      </c>
      <c r="H43" s="266" t="str">
        <f>IF(ROUND(Data!G$79-H$31,3)=0,"OK","ERROR")</f>
        <v>OK</v>
      </c>
      <c r="I43" s="266" t="str">
        <f>IF(ROUND(Data!H$79-I$31,3)=0,"OK","ERROR")</f>
        <v>OK</v>
      </c>
      <c r="J43" s="155" t="str">
        <f ca="1">IF(ROUND(Data!I$79-J$31,3)=0,"OK","ERROR")</f>
        <v>OK</v>
      </c>
      <c r="K43" s="155" t="str">
        <f ca="1">IF(ROUND(Data!J$79-K$31,3)=0,"OK","ERROR")</f>
        <v>OK</v>
      </c>
      <c r="L43" s="155" t="str">
        <f ca="1">IF(ROUND(Data!K$79-L$31,3)=0,"OK","ERROR")</f>
        <v>OK</v>
      </c>
      <c r="M43" s="155" t="str">
        <f ca="1">IF(ROUND(Data!L$79-M$31,3)=0,"OK","ERROR")</f>
        <v>OK</v>
      </c>
      <c r="N43" s="155" t="str">
        <f ca="1">IF(ROUND(Data!M$79-N$31,3)=0,"OK","ERROR")</f>
        <v>OK</v>
      </c>
      <c r="O43" s="385" t="str">
        <f ca="1">IF(ROUND(O$31-N$31-O$15 + IF(AND(OFFSET(Scenarios!$A$37,0,$C$1)="Yes",O$4&gt;=OFFSET(Scenarios!$A$38,0,$C$1),O$4&lt;=OFFSET(Scenarios!$A$39,0,$C$1)),OFFSET(Scenarios!$A$40,0,$C$1)*(1+OFFSET(Scenarios!$A$41,0,$C$1))^MAX(0,O$4-OFFSET(Scenarios!$A$38,0,$C$1)),0),3)=0,"OK","ERROR")</f>
        <v>OK</v>
      </c>
      <c r="P43" s="385" t="str">
        <f ca="1">IF(ROUND(P$31-O$31-P$15 + IF(AND(OFFSET(Scenarios!$A$37,0,$C$1)="Yes",P$4&gt;=OFFSET(Scenarios!$A$38,0,$C$1),P$4&lt;=OFFSET(Scenarios!$A$39,0,$C$1)),OFFSET(Scenarios!$A$40,0,$C$1)*(1+OFFSET(Scenarios!$A$41,0,$C$1))^MAX(0,P$4-OFFSET(Scenarios!$A$38,0,$C$1)),0),3)=0,"OK","ERROR")</f>
        <v>OK</v>
      </c>
      <c r="Q43" s="385" t="str">
        <f ca="1">IF(ROUND(Q$31-P$31-Q$15 + IF(AND(OFFSET(Scenarios!$A$37,0,$C$1)="Yes",Q$4&gt;=OFFSET(Scenarios!$A$38,0,$C$1),Q$4&lt;=OFFSET(Scenarios!$A$39,0,$C$1)),OFFSET(Scenarios!$A$40,0,$C$1)*(1+OFFSET(Scenarios!$A$41,0,$C$1))^MAX(0,Q$4-OFFSET(Scenarios!$A$38,0,$C$1)),0),3)=0,"OK","ERROR")</f>
        <v>OK</v>
      </c>
      <c r="R43" s="385" t="str">
        <f ca="1">IF(ROUND(R$31-Q$31-R$15 + IF(AND(OFFSET(Scenarios!$A$37,0,$C$1)="Yes",R$4&gt;=OFFSET(Scenarios!$A$38,0,$C$1),R$4&lt;=OFFSET(Scenarios!$A$39,0,$C$1)),OFFSET(Scenarios!$A$40,0,$C$1)*(1+OFFSET(Scenarios!$A$41,0,$C$1))^MAX(0,R$4-OFFSET(Scenarios!$A$38,0,$C$1)),0),3)=0,"OK","ERROR")</f>
        <v>OK</v>
      </c>
      <c r="S43" s="385" t="str">
        <f ca="1">IF(ROUND(S$31-R$31-S$15 + IF(AND(OFFSET(Scenarios!$A$37,0,$C$1)="Yes",S$4&gt;=OFFSET(Scenarios!$A$38,0,$C$1),S$4&lt;=OFFSET(Scenarios!$A$39,0,$C$1)),OFFSET(Scenarios!$A$40,0,$C$1)*(1+OFFSET(Scenarios!$A$41,0,$C$1))^MAX(0,S$4-OFFSET(Scenarios!$A$38,0,$C$1)),0),3)=0,"OK","ERROR")</f>
        <v>OK</v>
      </c>
      <c r="T43" s="385" t="str">
        <f ca="1">IF(ROUND(T$31-S$31-T$15 + IF(AND(OFFSET(Scenarios!$A$37,0,$C$1)="Yes",T$4&gt;=OFFSET(Scenarios!$A$38,0,$C$1),T$4&lt;=OFFSET(Scenarios!$A$39,0,$C$1)),OFFSET(Scenarios!$A$40,0,$C$1)*(1+OFFSET(Scenarios!$A$41,0,$C$1))^MAX(0,T$4-OFFSET(Scenarios!$A$38,0,$C$1)),0),3)=0,"OK","ERROR")</f>
        <v>OK</v>
      </c>
      <c r="U43" s="385" t="str">
        <f ca="1">IF(ROUND(U$31-T$31-U$15 + IF(AND(OFFSET(Scenarios!$A$37,0,$C$1)="Yes",U$4&gt;=OFFSET(Scenarios!$A$38,0,$C$1),U$4&lt;=OFFSET(Scenarios!$A$39,0,$C$1)),OFFSET(Scenarios!$A$40,0,$C$1)*(1+OFFSET(Scenarios!$A$41,0,$C$1))^MAX(0,U$4-OFFSET(Scenarios!$A$38,0,$C$1)),0),3)=0,"OK","ERROR")</f>
        <v>OK</v>
      </c>
      <c r="V43" s="385" t="str">
        <f ca="1">IF(ROUND(V$31-U$31-V$15 + IF(AND(OFFSET(Scenarios!$A$37,0,$C$1)="Yes",V$4&gt;=OFFSET(Scenarios!$A$38,0,$C$1),V$4&lt;=OFFSET(Scenarios!$A$39,0,$C$1)),OFFSET(Scenarios!$A$40,0,$C$1)*(1+OFFSET(Scenarios!$A$41,0,$C$1))^MAX(0,V$4-OFFSET(Scenarios!$A$38,0,$C$1)),0),3)=0,"OK","ERROR")</f>
        <v>OK</v>
      </c>
      <c r="W43" s="385" t="str">
        <f ca="1">IF(ROUND(W$31-V$31-W$15 + IF(AND(OFFSET(Scenarios!$A$37,0,$C$1)="Yes",W$4&gt;=OFFSET(Scenarios!$A$38,0,$C$1),W$4&lt;=OFFSET(Scenarios!$A$39,0,$C$1)),OFFSET(Scenarios!$A$40,0,$C$1)*(1+OFFSET(Scenarios!$A$41,0,$C$1))^MAX(0,W$4-OFFSET(Scenarios!$A$38,0,$C$1)),0),3)=0,"OK","ERROR")</f>
        <v>OK</v>
      </c>
      <c r="X43" s="385" t="str">
        <f ca="1">IF(ROUND(X$31-W$31-X$15 + IF(AND(OFFSET(Scenarios!$A$37,0,$C$1)="Yes",X$4&gt;=OFFSET(Scenarios!$A$38,0,$C$1),X$4&lt;=OFFSET(Scenarios!$A$39,0,$C$1)),OFFSET(Scenarios!$A$40,0,$C$1)*(1+OFFSET(Scenarios!$A$41,0,$C$1))^MAX(0,X$4-OFFSET(Scenarios!$A$38,0,$C$1)),0),3)=0,"OK","ERROR")</f>
        <v>OK</v>
      </c>
    </row>
    <row r="44" spans="1:24" x14ac:dyDescent="0.2">
      <c r="A44" s="220" t="s">
        <v>510</v>
      </c>
      <c r="B44" s="228"/>
      <c r="C44"/>
      <c r="D44" s="266" t="str">
        <f>IF(ROUND(Data!C$121-D$37,3)=0,"OK","ERROR")</f>
        <v>OK</v>
      </c>
      <c r="E44" s="266" t="str">
        <f>IF(ROUND(Data!D$121-E$37,3)=0,"OK","ERROR")</f>
        <v>OK</v>
      </c>
      <c r="F44" s="266" t="str">
        <f>IF(ROUND(Data!E$121-F$37,3)=0,"OK","ERROR")</f>
        <v>OK</v>
      </c>
      <c r="G44" s="266" t="str">
        <f>IF(ROUND(Data!F$121-G$37,3)=0,"OK","ERROR")</f>
        <v>OK</v>
      </c>
      <c r="H44" s="266" t="str">
        <f>IF(ROUND(Data!G$121-H$37,3)=0,"OK","ERROR")</f>
        <v>OK</v>
      </c>
      <c r="I44" s="266" t="str">
        <f>IF(ROUND(Data!H$121-I$37,3)=0,"OK","ERROR")</f>
        <v>OK</v>
      </c>
      <c r="J44" s="155" t="str">
        <f ca="1">IF(ROUND(Data!I$121-J$37,3)=0,"OK","ERROR")</f>
        <v>OK</v>
      </c>
      <c r="K44" s="155" t="str">
        <f ca="1">IF(ROUND(Data!J$121-K$37,3)=0,"OK","ERROR")</f>
        <v>OK</v>
      </c>
      <c r="L44" s="155" t="str">
        <f ca="1">IF(ROUND(Data!K$121-L$37,3)=0,"OK","ERROR")</f>
        <v>OK</v>
      </c>
      <c r="M44" s="155" t="str">
        <f ca="1">IF(ROUND(Data!L$121-M$37,3)=0,"OK","ERROR")</f>
        <v>OK</v>
      </c>
      <c r="N44" s="155" t="str">
        <f ca="1">IF(ROUND(Data!M$121-N$37,3)=0,"OK","ERROR")</f>
        <v>OK</v>
      </c>
      <c r="O44" s="385" t="str">
        <f ca="1">IF(ROUND(O$37-N$37-O$24 + IF(AND(OFFSET(Scenarios!$A$37,0,$C$1)="Yes",O$4&gt;=OFFSET(Scenarios!$A$38,0,$C$1),O$4&lt;=OFFSET(Scenarios!$A$39,0,$C$1)),OFFSET(Scenarios!$A$40,0,$C$1)*(1+OFFSET(Scenarios!$A$41,0,$C$1))^MAX(0,O$4-OFFSET(Scenarios!$A$38,0,$C$1)),0),3)=0,"OK","ERROR")</f>
        <v>OK</v>
      </c>
      <c r="P44" s="385" t="str">
        <f ca="1">IF(ROUND(P$37-O$37-P$24 + IF(AND(OFFSET(Scenarios!$A$37,0,$C$1)="Yes",P$4&gt;=OFFSET(Scenarios!$A$38,0,$C$1),P$4&lt;=OFFSET(Scenarios!$A$39,0,$C$1)),OFFSET(Scenarios!$A$40,0,$C$1)*(1+OFFSET(Scenarios!$A$41,0,$C$1))^MAX(0,P$4-OFFSET(Scenarios!$A$38,0,$C$1)),0),3)=0,"OK","ERROR")</f>
        <v>OK</v>
      </c>
      <c r="Q44" s="385" t="str">
        <f ca="1">IF(ROUND(Q$37-P$37-Q$24 + IF(AND(OFFSET(Scenarios!$A$37,0,$C$1)="Yes",Q$4&gt;=OFFSET(Scenarios!$A$38,0,$C$1),Q$4&lt;=OFFSET(Scenarios!$A$39,0,$C$1)),OFFSET(Scenarios!$A$40,0,$C$1)*(1+OFFSET(Scenarios!$A$41,0,$C$1))^MAX(0,Q$4-OFFSET(Scenarios!$A$38,0,$C$1)),0),3)=0,"OK","ERROR")</f>
        <v>OK</v>
      </c>
      <c r="R44" s="385" t="str">
        <f ca="1">IF(ROUND(R$37-Q$37-R$24 + IF(AND(OFFSET(Scenarios!$A$37,0,$C$1)="Yes",R$4&gt;=OFFSET(Scenarios!$A$38,0,$C$1),R$4&lt;=OFFSET(Scenarios!$A$39,0,$C$1)),OFFSET(Scenarios!$A$40,0,$C$1)*(1+OFFSET(Scenarios!$A$41,0,$C$1))^MAX(0,R$4-OFFSET(Scenarios!$A$38,0,$C$1)),0),3)=0,"OK","ERROR")</f>
        <v>OK</v>
      </c>
      <c r="S44" s="385" t="str">
        <f ca="1">IF(ROUND(S$37-R$37-S$24 + IF(AND(OFFSET(Scenarios!$A$37,0,$C$1)="Yes",S$4&gt;=OFFSET(Scenarios!$A$38,0,$C$1),S$4&lt;=OFFSET(Scenarios!$A$39,0,$C$1)),OFFSET(Scenarios!$A$40,0,$C$1)*(1+OFFSET(Scenarios!$A$41,0,$C$1))^MAX(0,S$4-OFFSET(Scenarios!$A$38,0,$C$1)),0),3)=0,"OK","ERROR")</f>
        <v>OK</v>
      </c>
      <c r="T44" s="385" t="str">
        <f ca="1">IF(ROUND(T$37-S$37-T$24 + IF(AND(OFFSET(Scenarios!$A$37,0,$C$1)="Yes",T$4&gt;=OFFSET(Scenarios!$A$38,0,$C$1),T$4&lt;=OFFSET(Scenarios!$A$39,0,$C$1)),OFFSET(Scenarios!$A$40,0,$C$1)*(1+OFFSET(Scenarios!$A$41,0,$C$1))^MAX(0,T$4-OFFSET(Scenarios!$A$38,0,$C$1)),0),3)=0,"OK","ERROR")</f>
        <v>OK</v>
      </c>
      <c r="U44" s="385" t="str">
        <f ca="1">IF(ROUND(U$37-T$37-U$24 + IF(AND(OFFSET(Scenarios!$A$37,0,$C$1)="Yes",U$4&gt;=OFFSET(Scenarios!$A$38,0,$C$1),U$4&lt;=OFFSET(Scenarios!$A$39,0,$C$1)),OFFSET(Scenarios!$A$40,0,$C$1)*(1+OFFSET(Scenarios!$A$41,0,$C$1))^MAX(0,U$4-OFFSET(Scenarios!$A$38,0,$C$1)),0),3)=0,"OK","ERROR")</f>
        <v>OK</v>
      </c>
      <c r="V44" s="385" t="str">
        <f ca="1">IF(ROUND(V$37-U$37-V$24 + IF(AND(OFFSET(Scenarios!$A$37,0,$C$1)="Yes",V$4&gt;=OFFSET(Scenarios!$A$38,0,$C$1),V$4&lt;=OFFSET(Scenarios!$A$39,0,$C$1)),OFFSET(Scenarios!$A$40,0,$C$1)*(1+OFFSET(Scenarios!$A$41,0,$C$1))^MAX(0,V$4-OFFSET(Scenarios!$A$38,0,$C$1)),0),3)=0,"OK","ERROR")</f>
        <v>OK</v>
      </c>
      <c r="W44" s="385" t="str">
        <f ca="1">IF(ROUND(W$37-V$37-W$24 + IF(AND(OFFSET(Scenarios!$A$37,0,$C$1)="Yes",W$4&gt;=OFFSET(Scenarios!$A$38,0,$C$1),W$4&lt;=OFFSET(Scenarios!$A$39,0,$C$1)),OFFSET(Scenarios!$A$40,0,$C$1)*(1+OFFSET(Scenarios!$A$41,0,$C$1))^MAX(0,W$4-OFFSET(Scenarios!$A$38,0,$C$1)),0),3)=0,"OK","ERROR")</f>
        <v>OK</v>
      </c>
      <c r="X44" s="385" t="str">
        <f ca="1">IF(ROUND(X$37-W$37-X$24 + IF(AND(OFFSET(Scenarios!$A$37,0,$C$1)="Yes",X$4&gt;=OFFSET(Scenarios!$A$38,0,$C$1),X$4&lt;=OFFSET(Scenarios!$A$39,0,$C$1)),OFFSET(Scenarios!$A$40,0,$C$1)*(1+OFFSET(Scenarios!$A$41,0,$C$1))^MAX(0,X$4-OFFSET(Scenarios!$A$38,0,$C$1)),0),3)=0,"OK","ERROR")</f>
        <v>OK</v>
      </c>
    </row>
    <row r="45" spans="1:24" x14ac:dyDescent="0.2">
      <c r="A45" s="220" t="s">
        <v>671</v>
      </c>
      <c r="B45" s="228"/>
      <c r="C45" s="71"/>
      <c r="D45" s="266" t="str">
        <f>IF(ROUND(Data!C$93-D$39,3)=0,"OK","ERROR")</f>
        <v>OK</v>
      </c>
      <c r="E45" s="266" t="str">
        <f>IF(ROUND(Data!D$93-E$39,3)=0,"OK","ERROR")</f>
        <v>OK</v>
      </c>
      <c r="F45" s="266" t="str">
        <f>IF(ROUND(Data!E$93-F$39,3)=0,"OK","ERROR")</f>
        <v>OK</v>
      </c>
      <c r="G45" s="266" t="str">
        <f>IF(ROUND(Data!F$93-G$39,3)=0,"OK","ERROR")</f>
        <v>OK</v>
      </c>
      <c r="H45" s="266" t="str">
        <f>IF(ROUND(Data!G$93-H$39,3)=0,"OK","ERROR")</f>
        <v>OK</v>
      </c>
      <c r="I45" s="266" t="str">
        <f>IF(ROUND(Data!H$93-I$39,3)=0,"OK","ERROR")</f>
        <v>OK</v>
      </c>
      <c r="J45" s="155" t="str">
        <f>IF(ROUND(Data!I$93-J$39,3)=0,"OK","ERROR")</f>
        <v>OK</v>
      </c>
      <c r="K45" s="155" t="str">
        <f>IF(ROUND(Data!J$93-K$39,3)=0,"OK","ERROR")</f>
        <v>OK</v>
      </c>
      <c r="L45" s="155" t="str">
        <f>IF(ROUND(Data!K$93-L$39,3)=0,"OK","ERROR")</f>
        <v>OK</v>
      </c>
      <c r="M45" s="155" t="str">
        <f>IF(ROUND(Data!L$93-M$39,3)=0,"OK","ERROR")</f>
        <v>OK</v>
      </c>
      <c r="N45" s="155" t="str">
        <f>IF(ROUND(Data!M$93-N$39,3)=0,"OK","ERROR")</f>
        <v>OK</v>
      </c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x14ac:dyDescent="0.2">
      <c r="A46" s="22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.75" x14ac:dyDescent="0.25">
      <c r="A47" s="150" t="s">
        <v>130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x14ac:dyDescent="0.2">
      <c r="A48" s="106" t="s">
        <v>273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 s="157" t="s">
        <v>185</v>
      </c>
      <c r="B49" s="228"/>
      <c r="C49"/>
      <c r="D49" s="69">
        <f>Data!C$124</f>
        <v>20.98</v>
      </c>
      <c r="E49" s="69">
        <f>Data!D$124</f>
        <v>23.344999999999999</v>
      </c>
      <c r="F49" s="69">
        <f>Data!E$124</f>
        <v>22.587</v>
      </c>
      <c r="G49" s="69">
        <f>Data!F$124</f>
        <v>21.774000000000001</v>
      </c>
      <c r="H49" s="69">
        <f>Data!G$124</f>
        <v>20.856999999999999</v>
      </c>
      <c r="I49" s="69">
        <f>Data!H$124</f>
        <v>21.236999999999998</v>
      </c>
      <c r="J49" s="123">
        <f>Data!I$124</f>
        <v>22.387</v>
      </c>
      <c r="K49" s="123">
        <f>Data!J$124</f>
        <v>23.709</v>
      </c>
      <c r="L49" s="123">
        <f>Data!K$124</f>
        <v>24.890999999999998</v>
      </c>
      <c r="M49" s="123">
        <f>Data!L$124</f>
        <v>26.114000000000001</v>
      </c>
      <c r="N49" s="123">
        <f>Data!M$124</f>
        <v>27.53</v>
      </c>
      <c r="O49" s="73">
        <f ca="1">IF(AND(OFFSET(Scenarios!$A$23,0,$C$1)="YES",OFFSET(Scenarios!$A$25,0,$C$1)&gt;=O$4),N$49*(1+O$256)*(1+OFFSET(Scenarios!$A$24,0,$C$1)*O$247)*(1+OFFSET(Scenarios!$A$24,0,$C$1)*O$259),IF(OFFSET(Scenarios!$A$55,0,$C$1)="Yes",IF(N$49/N$244&lt;OFFSET(Scenarios!$A$64,0,$C$1),MIN(N$49/N$244+OFFSET(Scenarios!$A$63,0,$C$1),OFFSET(Scenarios!$A$64,0,$C$1)),MAX(N$49/N$244-OFFSET(Scenarios!$A$63,0,$C$1),OFFSET(Scenarios!$A$64,0,$C$1)))*O$244,N$49*(1+O$256)*(1+O$247)*(1+O$259)))</f>
        <v>29.109199580834453</v>
      </c>
      <c r="P49" s="73">
        <f ca="1">IF(AND(OFFSET(Scenarios!$A$23,0,$C$1)="YES",OFFSET(Scenarios!$A$25,0,$C$1)&gt;=P$4),O$49*(1+P$256)*(1+OFFSET(Scenarios!$A$24,0,$C$1)*P$247)*(1+OFFSET(Scenarios!$A$24,0,$C$1)*P$259),IF(OFFSET(Scenarios!$A$55,0,$C$1)="Yes",IF(O$49/O$244&lt;OFFSET(Scenarios!$A$64,0,$C$1),MIN(O$49/O$244+OFFSET(Scenarios!$A$63,0,$C$1),OFFSET(Scenarios!$A$64,0,$C$1)),MAX(O$49/O$244-OFFSET(Scenarios!$A$63,0,$C$1),OFFSET(Scenarios!$A$64,0,$C$1)))*P$244,O$49*(1+P$256)*(1+P$247)*(1+P$259)))</f>
        <v>30.779631131708232</v>
      </c>
      <c r="Q49" s="73">
        <f ca="1">IF(AND(OFFSET(Scenarios!$A$23,0,$C$1)="YES",OFFSET(Scenarios!$A$25,0,$C$1)&gt;=Q$4),P$49*(1+Q$256)*(1+OFFSET(Scenarios!$A$24,0,$C$1)*Q$247)*(1+OFFSET(Scenarios!$A$24,0,$C$1)*Q$259),IF(OFFSET(Scenarios!$A$55,0,$C$1)="Yes",IF(P$49/P$244&lt;OFFSET(Scenarios!$A$64,0,$C$1),MIN(P$49/P$244+OFFSET(Scenarios!$A$63,0,$C$1),OFFSET(Scenarios!$A$64,0,$C$1)),MAX(P$49/P$244-OFFSET(Scenarios!$A$63,0,$C$1),OFFSET(Scenarios!$A$64,0,$C$1)))*Q$244,P$49*(1+Q$256)*(1+Q$247)*(1+Q$259)))</f>
        <v>32.608210720501397</v>
      </c>
      <c r="R49" s="73">
        <f ca="1">IF(AND(OFFSET(Scenarios!$A$23,0,$C$1)="YES",OFFSET(Scenarios!$A$25,0,$C$1)&gt;=R$4),Q$49*(1+R$256)*(1+OFFSET(Scenarios!$A$24,0,$C$1)*R$247)*(1+OFFSET(Scenarios!$A$24,0,$C$1)*R$259),IF(OFFSET(Scenarios!$A$55,0,$C$1)="Yes",IF(Q$49/Q$244&lt;OFFSET(Scenarios!$A$64,0,$C$1),MIN(Q$49/Q$244+OFFSET(Scenarios!$A$63,0,$C$1),OFFSET(Scenarios!$A$64,0,$C$1)),MAX(Q$49/Q$244-OFFSET(Scenarios!$A$63,0,$C$1),OFFSET(Scenarios!$A$64,0,$C$1)))*R$244,Q$49*(1+R$256)*(1+R$247)*(1+R$259)))</f>
        <v>34.429455755513764</v>
      </c>
      <c r="S49" s="73">
        <f ca="1">IF(AND(OFFSET(Scenarios!$A$23,0,$C$1)="YES",OFFSET(Scenarios!$A$25,0,$C$1)&gt;=S$4),R$49*(1+S$256)*(1+OFFSET(Scenarios!$A$24,0,$C$1)*S$247)*(1+OFFSET(Scenarios!$A$24,0,$C$1)*S$259),IF(OFFSET(Scenarios!$A$55,0,$C$1)="Yes",IF(R$49/R$244&lt;OFFSET(Scenarios!$A$64,0,$C$1),MIN(R$49/R$244+OFFSET(Scenarios!$A$63,0,$C$1),OFFSET(Scenarios!$A$64,0,$C$1)),MAX(R$49/R$244-OFFSET(Scenarios!$A$63,0,$C$1),OFFSET(Scenarios!$A$64,0,$C$1)))*S$244,R$49*(1+S$256)*(1+S$247)*(1+S$259)))</f>
        <v>36.012707614232738</v>
      </c>
      <c r="T49" s="73">
        <f ca="1">IF(AND(OFFSET(Scenarios!$A$23,0,$C$1)="YES",OFFSET(Scenarios!$A$25,0,$C$1)&gt;=T$4),S$49*(1+T$256)*(1+OFFSET(Scenarios!$A$24,0,$C$1)*T$247)*(1+OFFSET(Scenarios!$A$24,0,$C$1)*T$259),IF(OFFSET(Scenarios!$A$55,0,$C$1)="Yes",IF(S$49/S$244&lt;OFFSET(Scenarios!$A$64,0,$C$1),MIN(S$49/S$244+OFFSET(Scenarios!$A$63,0,$C$1),OFFSET(Scenarios!$A$64,0,$C$1)),MAX(S$49/S$244-OFFSET(Scenarios!$A$63,0,$C$1),OFFSET(Scenarios!$A$64,0,$C$1)))*T$244,S$49*(1+T$256)*(1+T$247)*(1+T$259)))</f>
        <v>37.638655156478187</v>
      </c>
      <c r="U49" s="73">
        <f ca="1">IF(AND(OFFSET(Scenarios!$A$23,0,$C$1)="YES",OFFSET(Scenarios!$A$25,0,$C$1)&gt;=U$4),T$49*(1+U$256)*(1+OFFSET(Scenarios!$A$24,0,$C$1)*U$247)*(1+OFFSET(Scenarios!$A$24,0,$C$1)*U$259),IF(OFFSET(Scenarios!$A$55,0,$C$1)="Yes",IF(T$49/T$244&lt;OFFSET(Scenarios!$A$64,0,$C$1),MIN(T$49/T$244+OFFSET(Scenarios!$A$63,0,$C$1),OFFSET(Scenarios!$A$64,0,$C$1)),MAX(T$49/T$244-OFFSET(Scenarios!$A$63,0,$C$1),OFFSET(Scenarios!$A$64,0,$C$1)))*U$244,T$49*(1+U$256)*(1+U$247)*(1+U$259)))</f>
        <v>39.311078684799256</v>
      </c>
      <c r="V49" s="73">
        <f ca="1">IF(AND(OFFSET(Scenarios!$A$23,0,$C$1)="YES",OFFSET(Scenarios!$A$25,0,$C$1)&gt;=V$4),U$49*(1+V$256)*(1+OFFSET(Scenarios!$A$24,0,$C$1)*V$247)*(1+OFFSET(Scenarios!$A$24,0,$C$1)*V$259),IF(OFFSET(Scenarios!$A$55,0,$C$1)="Yes",IF(U$49/U$244&lt;OFFSET(Scenarios!$A$64,0,$C$1),MIN(U$49/U$244+OFFSET(Scenarios!$A$63,0,$C$1),OFFSET(Scenarios!$A$64,0,$C$1)),MAX(U$49/U$244-OFFSET(Scenarios!$A$63,0,$C$1),OFFSET(Scenarios!$A$64,0,$C$1)))*V$244,U$49*(1+V$256)*(1+V$247)*(1+V$259)))</f>
        <v>41.048003546838203</v>
      </c>
      <c r="W49" s="73">
        <f ca="1">IF(AND(OFFSET(Scenarios!$A$23,0,$C$1)="YES",OFFSET(Scenarios!$A$25,0,$C$1)&gt;=W$4),V$49*(1+W$256)*(1+OFFSET(Scenarios!$A$24,0,$C$1)*W$247)*(1+OFFSET(Scenarios!$A$24,0,$C$1)*W$259),IF(OFFSET(Scenarios!$A$55,0,$C$1)="Yes",IF(V$49/V$244&lt;OFFSET(Scenarios!$A$64,0,$C$1),MIN(V$49/V$244+OFFSET(Scenarios!$A$63,0,$C$1),OFFSET(Scenarios!$A$64,0,$C$1)),MAX(V$49/V$244-OFFSET(Scenarios!$A$63,0,$C$1),OFFSET(Scenarios!$A$64,0,$C$1)))*W$244,V$49*(1+W$256)*(1+W$247)*(1+W$259)))</f>
        <v>42.83907964620856</v>
      </c>
      <c r="X49" s="73">
        <f ca="1">IF(AND(OFFSET(Scenarios!$A$23,0,$C$1)="YES",OFFSET(Scenarios!$A$25,0,$C$1)&gt;=X$4),W$49*(1+X$256)*(1+OFFSET(Scenarios!$A$24,0,$C$1)*X$247)*(1+OFFSET(Scenarios!$A$24,0,$C$1)*X$259),IF(OFFSET(Scenarios!$A$55,0,$C$1)="Yes",IF(W$49/W$244&lt;OFFSET(Scenarios!$A$64,0,$C$1),MIN(W$49/W$244+OFFSET(Scenarios!$A$63,0,$C$1),OFFSET(Scenarios!$A$64,0,$C$1)),MAX(W$49/W$244-OFFSET(Scenarios!$A$63,0,$C$1),OFFSET(Scenarios!$A$64,0,$C$1)))*X$244,W$49*(1+X$256)*(1+X$247)*(1+X$259)))</f>
        <v>44.680669984275511</v>
      </c>
    </row>
    <row r="50" spans="1:24" x14ac:dyDescent="0.2">
      <c r="A50" s="157" t="s">
        <v>328</v>
      </c>
      <c r="B50" s="228"/>
      <c r="C50" s="69"/>
      <c r="D50" s="69">
        <f>Data!C$128</f>
        <v>9.891</v>
      </c>
      <c r="E50" s="69">
        <f>Data!D$128</f>
        <v>10.122</v>
      </c>
      <c r="F50" s="69">
        <f>Data!E$128</f>
        <v>9.2759999999999998</v>
      </c>
      <c r="G50" s="69">
        <f>Data!F$128</f>
        <v>7.2</v>
      </c>
      <c r="H50" s="69">
        <f>Data!G$128</f>
        <v>6.9569999999999999</v>
      </c>
      <c r="I50" s="69">
        <f>Data!H$128</f>
        <v>8.6120000000000001</v>
      </c>
      <c r="J50" s="123">
        <f>Data!I$128</f>
        <v>8.6229999999999993</v>
      </c>
      <c r="K50" s="123">
        <f>Data!J$128</f>
        <v>9.49</v>
      </c>
      <c r="L50" s="123">
        <f>Data!K$128</f>
        <v>10.042999999999999</v>
      </c>
      <c r="M50" s="123">
        <f>Data!L$128</f>
        <v>10.44</v>
      </c>
      <c r="N50" s="123">
        <f>Data!M$128</f>
        <v>10.724</v>
      </c>
      <c r="O50" s="73">
        <f ca="1">IF(OFFSET(Scenarios!$A$56,0,$C$1)="Yes",IF(N$50/N$244&lt;OFFSET(Scenarios!$A$65,0,$C$1),MIN(N$50/N$244+OFFSET(Scenarios!$A$63,0,$C$1),OFFSET(Scenarios!$A$65,0,$C$1)),MAX(N$50/N$244-OFFSET(Scenarios!$A$63,0,$C$1),OFFSET(Scenarios!$A$65,0,$C$1)))*O$244,N$50*(1+O$245))</f>
        <v>11.742738391510208</v>
      </c>
      <c r="P50" s="73">
        <f ca="1">IF(OFFSET(Scenarios!$A$56,0,$C$1)="Yes",IF(O$50/O$244&lt;OFFSET(Scenarios!$A$65,0,$C$1),MIN(O$50/O$244+OFFSET(Scenarios!$A$63,0,$C$1),OFFSET(Scenarios!$A$65,0,$C$1)),MAX(O$50/O$244-OFFSET(Scenarios!$A$63,0,$C$1),OFFSET(Scenarios!$A$65,0,$C$1)))*P$244,O$50*(1+P$245))</f>
        <v>12.357525581552293</v>
      </c>
      <c r="Q50" s="73">
        <f ca="1">IF(OFFSET(Scenarios!$A$56,0,$C$1)="Yes",IF(P$50/P$244&lt;OFFSET(Scenarios!$A$65,0,$C$1),MIN(P$50/P$244+OFFSET(Scenarios!$A$63,0,$C$1),OFFSET(Scenarios!$A$65,0,$C$1)),MAX(P$50/P$244-OFFSET(Scenarios!$A$63,0,$C$1),OFFSET(Scenarios!$A$65,0,$C$1)))*Q$244,P$50*(1+Q$245))</f>
        <v>12.927742667586536</v>
      </c>
      <c r="R50" s="73">
        <f ca="1">IF(OFFSET(Scenarios!$A$56,0,$C$1)="Yes",IF(Q$50/Q$244&lt;OFFSET(Scenarios!$A$65,0,$C$1),MIN(Q$50/Q$244+OFFSET(Scenarios!$A$63,0,$C$1),OFFSET(Scenarios!$A$65,0,$C$1)),MAX(Q$50/Q$244-OFFSET(Scenarios!$A$63,0,$C$1),OFFSET(Scenarios!$A$65,0,$C$1)))*R$244,Q$50*(1+R$245))</f>
        <v>13.525857618237549</v>
      </c>
      <c r="S50" s="73">
        <f ca="1">IF(OFFSET(Scenarios!$A$56,0,$C$1)="Yes",IF(R$50/R$244&lt;OFFSET(Scenarios!$A$65,0,$C$1),MIN(R$50/R$244+OFFSET(Scenarios!$A$63,0,$C$1),OFFSET(Scenarios!$A$65,0,$C$1)),MAX(R$50/R$244-OFFSET(Scenarios!$A$63,0,$C$1),OFFSET(Scenarios!$A$65,0,$C$1)))*S$244,R$50*(1+S$245))</f>
        <v>14.147849419877145</v>
      </c>
      <c r="T50" s="73">
        <f ca="1">IF(OFFSET(Scenarios!$A$56,0,$C$1)="Yes",IF(S$50/S$244&lt;OFFSET(Scenarios!$A$65,0,$C$1),MIN(S$50/S$244+OFFSET(Scenarios!$A$63,0,$C$1),OFFSET(Scenarios!$A$65,0,$C$1)),MAX(S$50/S$244-OFFSET(Scenarios!$A$63,0,$C$1),OFFSET(Scenarios!$A$65,0,$C$1)))*T$244,S$50*(1+T$245))</f>
        <v>14.786614525759287</v>
      </c>
      <c r="U50" s="73">
        <f ca="1">IF(OFFSET(Scenarios!$A$56,0,$C$1)="Yes",IF(T$50/T$244&lt;OFFSET(Scenarios!$A$65,0,$C$1),MIN(T$50/T$244+OFFSET(Scenarios!$A$63,0,$C$1),OFFSET(Scenarios!$A$65,0,$C$1)),MAX(T$50/T$244-OFFSET(Scenarios!$A$63,0,$C$1),OFFSET(Scenarios!$A$65,0,$C$1)))*U$244,T$50*(1+U$245))</f>
        <v>15.443638054742564</v>
      </c>
      <c r="V50" s="73">
        <f ca="1">IF(OFFSET(Scenarios!$A$56,0,$C$1)="Yes",IF(U$50/U$244&lt;OFFSET(Scenarios!$A$65,0,$C$1),MIN(U$50/U$244+OFFSET(Scenarios!$A$63,0,$C$1),OFFSET(Scenarios!$A$65,0,$C$1)),MAX(U$50/U$244-OFFSET(Scenarios!$A$63,0,$C$1),OFFSET(Scenarios!$A$65,0,$C$1)))*V$244,U$50*(1+V$245))</f>
        <v>16.12600139340072</v>
      </c>
      <c r="W50" s="73">
        <f ca="1">IF(OFFSET(Scenarios!$A$56,0,$C$1)="Yes",IF(V$50/V$244&lt;OFFSET(Scenarios!$A$65,0,$C$1),MIN(V$50/V$244+OFFSET(Scenarios!$A$63,0,$C$1),OFFSET(Scenarios!$A$65,0,$C$1)),MAX(V$50/V$244-OFFSET(Scenarios!$A$63,0,$C$1),OFFSET(Scenarios!$A$65,0,$C$1)))*W$244,V$50*(1+W$245))</f>
        <v>16.829638432439076</v>
      </c>
      <c r="X50" s="73">
        <f ca="1">IF(OFFSET(Scenarios!$A$56,0,$C$1)="Yes",IF(W$50/W$244&lt;OFFSET(Scenarios!$A$65,0,$C$1),MIN(W$50/W$244+OFFSET(Scenarios!$A$63,0,$C$1),OFFSET(Scenarios!$A$65,0,$C$1)),MAX(W$50/W$244-OFFSET(Scenarios!$A$63,0,$C$1),OFFSET(Scenarios!$A$65,0,$C$1)))*X$244,W$50*(1+X$245))</f>
        <v>17.553120350965379</v>
      </c>
    </row>
    <row r="51" spans="1:24" x14ac:dyDescent="0.2">
      <c r="A51" s="157" t="s">
        <v>999</v>
      </c>
      <c r="B51" s="228"/>
      <c r="C51" s="69"/>
      <c r="D51" s="69">
        <f>Data!C$130</f>
        <v>11.215</v>
      </c>
      <c r="E51" s="69">
        <f>Data!D$130</f>
        <v>11.115</v>
      </c>
      <c r="F51" s="69">
        <f>Data!E$130</f>
        <v>11.551</v>
      </c>
      <c r="G51" s="69">
        <f>Data!F$130</f>
        <v>11.917</v>
      </c>
      <c r="H51" s="69">
        <f>Data!G$130</f>
        <v>13.708</v>
      </c>
      <c r="I51" s="69">
        <f>Data!H$130</f>
        <v>14.571999999999999</v>
      </c>
      <c r="J51" s="123">
        <f>Data!I$130</f>
        <v>15.404999999999999</v>
      </c>
      <c r="K51" s="123">
        <f>Data!J$130</f>
        <v>16.524999999999999</v>
      </c>
      <c r="L51" s="123">
        <f>Data!K$130</f>
        <v>17.544</v>
      </c>
      <c r="M51" s="123">
        <f>Data!L$130</f>
        <v>18.449000000000002</v>
      </c>
      <c r="N51" s="123">
        <f>Data!M$130</f>
        <v>19.114999999999998</v>
      </c>
      <c r="O51" s="73">
        <f ca="1">IF(OFFSET(Scenarios!$A$57,0,$C$1)="Yes",IF(N$51/N$244&lt;OFFSET(Scenarios!$A$66,0,$C$1),MIN(N$51/N$244+OFFSET(Scenarios!$A$63,0,$C$1),OFFSET(Scenarios!$A$66,0,$C$1)),MAX(N$51/N$244-OFFSET(Scenarios!$A$63,0,$C$1),OFFSET(Scenarios!$A$66,0,$C$1)))*O$244,N$51*(1+O$245))</f>
        <v>19.88832447606277</v>
      </c>
      <c r="P51" s="73">
        <f ca="1">IF(OFFSET(Scenarios!$A$57,0,$C$1)="Yes",IF(O$51/O$244&lt;OFFSET(Scenarios!$A$66,0,$C$1),MIN(O$51/O$244+OFFSET(Scenarios!$A$63,0,$C$1),OFFSET(Scenarios!$A$66,0,$C$1)),MAX(O$51/O$244-OFFSET(Scenarios!$A$63,0,$C$1),OFFSET(Scenarios!$A$66,0,$C$1)))*P$244,O$51*(1+P$245))</f>
        <v>20.783111205337949</v>
      </c>
      <c r="Q51" s="73">
        <f ca="1">IF(OFFSET(Scenarios!$A$57,0,$C$1)="Yes",IF(P$51/P$244&lt;OFFSET(Scenarios!$A$66,0,$C$1),MIN(P$51/P$244+OFFSET(Scenarios!$A$63,0,$C$1),OFFSET(Scenarios!$A$66,0,$C$1)),MAX(P$51/P$244-OFFSET(Scenarios!$A$63,0,$C$1),OFFSET(Scenarios!$A$66,0,$C$1)))*Q$244,P$51*(1+Q$245))</f>
        <v>21.742112668213718</v>
      </c>
      <c r="R51" s="73">
        <f ca="1">IF(OFFSET(Scenarios!$A$57,0,$C$1)="Yes",IF(Q$51/Q$244&lt;OFFSET(Scenarios!$A$66,0,$C$1),MIN(Q$51/Q$244+OFFSET(Scenarios!$A$63,0,$C$1),OFFSET(Scenarios!$A$66,0,$C$1)),MAX(Q$51/Q$244-OFFSET(Scenarios!$A$63,0,$C$1),OFFSET(Scenarios!$A$66,0,$C$1)))*R$244,Q$51*(1+R$245))</f>
        <v>22.748033267035876</v>
      </c>
      <c r="S51" s="73">
        <f ca="1">IF(OFFSET(Scenarios!$A$57,0,$C$1)="Yes",IF(R$51/R$244&lt;OFFSET(Scenarios!$A$66,0,$C$1),MIN(R$51/R$244+OFFSET(Scenarios!$A$63,0,$C$1),OFFSET(Scenarios!$A$66,0,$C$1)),MAX(R$51/R$244-OFFSET(Scenarios!$A$63,0,$C$1),OFFSET(Scenarios!$A$66,0,$C$1)))*S$244,R$51*(1+S$245))</f>
        <v>23.794110387975199</v>
      </c>
      <c r="T51" s="73">
        <f ca="1">IF(OFFSET(Scenarios!$A$57,0,$C$1)="Yes",IF(S$51/S$244&lt;OFFSET(Scenarios!$A$66,0,$C$1),MIN(S$51/S$244+OFFSET(Scenarios!$A$63,0,$C$1),OFFSET(Scenarios!$A$66,0,$C$1)),MAX(S$51/S$244-OFFSET(Scenarios!$A$63,0,$C$1),OFFSET(Scenarios!$A$66,0,$C$1)))*T$244,S$51*(1+T$245))</f>
        <v>24.8683971569588</v>
      </c>
      <c r="U51" s="73">
        <f ca="1">IF(OFFSET(Scenarios!$A$57,0,$C$1)="Yes",IF(T$51/T$244&lt;OFFSET(Scenarios!$A$66,0,$C$1),MIN(T$51/T$244+OFFSET(Scenarios!$A$63,0,$C$1),OFFSET(Scenarios!$A$66,0,$C$1)),MAX(T$51/T$244-OFFSET(Scenarios!$A$63,0,$C$1),OFFSET(Scenarios!$A$66,0,$C$1)))*U$244,T$51*(1+U$245))</f>
        <v>25.973391273885223</v>
      </c>
      <c r="V51" s="73">
        <f ca="1">IF(OFFSET(Scenarios!$A$57,0,$C$1)="Yes",IF(U$51/U$244&lt;OFFSET(Scenarios!$A$66,0,$C$1),MIN(U$51/U$244+OFFSET(Scenarios!$A$63,0,$C$1),OFFSET(Scenarios!$A$66,0,$C$1)),MAX(U$51/U$244-OFFSET(Scenarios!$A$63,0,$C$1),OFFSET(Scenarios!$A$66,0,$C$1)))*V$244,U$51*(1+V$245))</f>
        <v>27.121002343446669</v>
      </c>
      <c r="W51" s="73">
        <f ca="1">IF(OFFSET(Scenarios!$A$57,0,$C$1)="Yes",IF(V$51/V$244&lt;OFFSET(Scenarios!$A$66,0,$C$1),MIN(V$51/V$244+OFFSET(Scenarios!$A$63,0,$C$1),OFFSET(Scenarios!$A$66,0,$C$1)),MAX(V$51/V$244-OFFSET(Scenarios!$A$63,0,$C$1),OFFSET(Scenarios!$A$66,0,$C$1)))*W$244,V$51*(1+W$245))</f>
        <v>28.304391909102083</v>
      </c>
      <c r="X51" s="73">
        <f ca="1">IF(OFFSET(Scenarios!$A$57,0,$C$1)="Yes",IF(W$51/W$244&lt;OFFSET(Scenarios!$A$66,0,$C$1),MIN(W$51/W$244+OFFSET(Scenarios!$A$63,0,$C$1),OFFSET(Scenarios!$A$66,0,$C$1)),MAX(W$51/W$244-OFFSET(Scenarios!$A$63,0,$C$1),OFFSET(Scenarios!$A$66,0,$C$1)))*X$244,W$51*(1+X$245))</f>
        <v>29.52115695389632</v>
      </c>
    </row>
    <row r="52" spans="1:24" x14ac:dyDescent="0.2">
      <c r="A52" s="157" t="s">
        <v>879</v>
      </c>
      <c r="B52" s="228"/>
      <c r="C52" s="69"/>
      <c r="D52" s="69">
        <f>Data!C$131</f>
        <v>2.3879999999999999</v>
      </c>
      <c r="E52" s="69">
        <f>Data!D$131</f>
        <v>2.4239999999999999</v>
      </c>
      <c r="F52" s="69">
        <f>Data!E$131</f>
        <v>2.3339999999999996</v>
      </c>
      <c r="G52" s="69">
        <f>Data!F$131</f>
        <v>2.508</v>
      </c>
      <c r="H52" s="69">
        <f>Data!G$131</f>
        <v>2.6349999999999998</v>
      </c>
      <c r="I52" s="69">
        <f>Data!H$131</f>
        <v>2.698</v>
      </c>
      <c r="J52" s="123">
        <f>Data!I$131</f>
        <v>2.7290000000000001</v>
      </c>
      <c r="K52" s="123">
        <f>Data!J$131</f>
        <v>2.9409999999999998</v>
      </c>
      <c r="L52" s="123">
        <f>Data!K$131</f>
        <v>3.15</v>
      </c>
      <c r="M52" s="123">
        <f>Data!L$131</f>
        <v>3.3650000000000002</v>
      </c>
      <c r="N52" s="123">
        <f>Data!M$131</f>
        <v>3.48</v>
      </c>
      <c r="O52" s="73">
        <f ca="1">IF(OFFSET(Scenarios!$A$58,0,$C$1)="Yes",IF(N$52/N$244&lt;OFFSET(Scenarios!$A$67,0,$C$1),MIN(N$52/N$244+OFFSET(Scenarios!$A$63,0,$C$1),OFFSET(Scenarios!$A$67,0,$C$1)),MAX(N$52/N$244-OFFSET(Scenarios!$A$63,0,$C$1),OFFSET(Scenarios!$A$67,0,$C$1)))*O$244,N$52*(1+O$245))</f>
        <v>3.7626559819578218</v>
      </c>
      <c r="P52" s="73">
        <f ca="1">IF(OFFSET(Scenarios!$A$58,0,$C$1)="Yes",IF(O$52/O$244&lt;OFFSET(Scenarios!$A$67,0,$C$1),MIN(O$52/O$244+OFFSET(Scenarios!$A$63,0,$C$1),OFFSET(Scenarios!$A$67,0,$C$1)),MAX(O$52/O$244-OFFSET(Scenarios!$A$63,0,$C$1),OFFSET(Scenarios!$A$67,0,$C$1)))*P$244,O$52*(1+P$245))</f>
        <v>3.9319399577666392</v>
      </c>
      <c r="Q52" s="73">
        <f ca="1">IF(OFFSET(Scenarios!$A$58,0,$C$1)="Yes",IF(P$52/P$244&lt;OFFSET(Scenarios!$A$67,0,$C$1),MIN(P$52/P$244+OFFSET(Scenarios!$A$63,0,$C$1),OFFSET(Scenarios!$A$67,0,$C$1)),MAX(P$52/P$244-OFFSET(Scenarios!$A$63,0,$C$1),OFFSET(Scenarios!$A$67,0,$C$1)))*Q$244,P$52*(1+Q$245))</f>
        <v>4.1133726669593527</v>
      </c>
      <c r="R52" s="73">
        <f ca="1">IF(OFFSET(Scenarios!$A$58,0,$C$1)="Yes",IF(Q$52/Q$244&lt;OFFSET(Scenarios!$A$67,0,$C$1),MIN(Q$52/Q$244+OFFSET(Scenarios!$A$63,0,$C$1),OFFSET(Scenarios!$A$67,0,$C$1)),MAX(Q$52/Q$244-OFFSET(Scenarios!$A$63,0,$C$1),OFFSET(Scenarios!$A$67,0,$C$1)))*R$244,Q$52*(1+R$245))</f>
        <v>4.3036819694392205</v>
      </c>
      <c r="S52" s="73">
        <f ca="1">IF(OFFSET(Scenarios!$A$58,0,$C$1)="Yes",IF(R$52/R$244&lt;OFFSET(Scenarios!$A$67,0,$C$1),MIN(R$52/R$244+OFFSET(Scenarios!$A$63,0,$C$1),OFFSET(Scenarios!$A$67,0,$C$1)),MAX(R$52/R$244-OFFSET(Scenarios!$A$63,0,$C$1),OFFSET(Scenarios!$A$67,0,$C$1)))*S$244,R$52*(1+S$245))</f>
        <v>4.5015884517790923</v>
      </c>
      <c r="T52" s="73">
        <f ca="1">IF(OFFSET(Scenarios!$A$58,0,$C$1)="Yes",IF(S$52/S$244&lt;OFFSET(Scenarios!$A$67,0,$C$1),MIN(S$52/S$244+OFFSET(Scenarios!$A$63,0,$C$1),OFFSET(Scenarios!$A$67,0,$C$1)),MAX(S$52/S$244-OFFSET(Scenarios!$A$63,0,$C$1),OFFSET(Scenarios!$A$67,0,$C$1)))*T$244,S$52*(1+T$245))</f>
        <v>4.7048318945597734</v>
      </c>
      <c r="U52" s="73">
        <f ca="1">IF(OFFSET(Scenarios!$A$58,0,$C$1)="Yes",IF(T$52/T$244&lt;OFFSET(Scenarios!$A$67,0,$C$1),MIN(T$52/T$244+OFFSET(Scenarios!$A$63,0,$C$1),OFFSET(Scenarios!$A$67,0,$C$1)),MAX(T$52/T$244-OFFSET(Scenarios!$A$63,0,$C$1),OFFSET(Scenarios!$A$67,0,$C$1)))*U$244,T$52*(1+U$245))</f>
        <v>4.913884835599907</v>
      </c>
      <c r="V52" s="73">
        <f ca="1">IF(OFFSET(Scenarios!$A$58,0,$C$1)="Yes",IF(U$52/U$244&lt;OFFSET(Scenarios!$A$67,0,$C$1),MIN(U$52/U$244+OFFSET(Scenarios!$A$63,0,$C$1),OFFSET(Scenarios!$A$67,0,$C$1)),MAX(U$52/U$244-OFFSET(Scenarios!$A$63,0,$C$1),OFFSET(Scenarios!$A$67,0,$C$1)))*V$244,U$52*(1+V$245))</f>
        <v>5.1310004433547753</v>
      </c>
      <c r="W52" s="73">
        <f ca="1">IF(OFFSET(Scenarios!$A$58,0,$C$1)="Yes",IF(V$52/V$244&lt;OFFSET(Scenarios!$A$67,0,$C$1),MIN(V$52/V$244+OFFSET(Scenarios!$A$63,0,$C$1),OFFSET(Scenarios!$A$67,0,$C$1)),MAX(V$52/V$244-OFFSET(Scenarios!$A$63,0,$C$1),OFFSET(Scenarios!$A$67,0,$C$1)))*W$244,V$52*(1+W$245))</f>
        <v>5.35488495577607</v>
      </c>
      <c r="X52" s="73">
        <f ca="1">IF(OFFSET(Scenarios!$A$58,0,$C$1)="Yes",IF(W$52/W$244&lt;OFFSET(Scenarios!$A$67,0,$C$1),MIN(W$52/W$244+OFFSET(Scenarios!$A$63,0,$C$1),OFFSET(Scenarios!$A$67,0,$C$1)),MAX(W$52/W$244-OFFSET(Scenarios!$A$63,0,$C$1),OFFSET(Scenarios!$A$67,0,$C$1)))*X$244,W$52*(1+X$245))</f>
        <v>5.5850837480344389</v>
      </c>
    </row>
    <row r="53" spans="1:24" x14ac:dyDescent="0.2">
      <c r="A53" s="157" t="s">
        <v>242</v>
      </c>
      <c r="B53" s="228"/>
      <c r="C53" s="69"/>
      <c r="D53" s="173">
        <f>SUM(Data!C$125:C$127,Data!C$129,Data!C$132)</f>
        <v>8.59</v>
      </c>
      <c r="E53" s="173">
        <f>SUM(Data!D$125:D$127,Data!D$129,Data!D$132)</f>
        <v>9.3659999999999997</v>
      </c>
      <c r="F53" s="173">
        <f>SUM(Data!E$125:E$127,Data!E$129,Data!E$132)</f>
        <v>8.3970000000000002</v>
      </c>
      <c r="G53" s="173">
        <f>SUM(Data!F$125:F$127,Data!F$129,Data!F$132)</f>
        <v>6.9480000000000004</v>
      </c>
      <c r="H53" s="173">
        <f>SUM(Data!G$125:G$127,Data!G$129,Data!G$132)</f>
        <v>6.9710000000000001</v>
      </c>
      <c r="I53" s="173">
        <f>SUM(Data!H$125:H$127,Data!H$129,Data!H$132)</f>
        <v>7.5460000000000003</v>
      </c>
      <c r="J53" s="127">
        <f>SUM(Data!I$125:I$127,Data!I$129,Data!I$132)</f>
        <v>8.6950000000000003</v>
      </c>
      <c r="K53" s="127">
        <f>SUM(Data!J$125:J$127,Data!J$129,Data!J$132)</f>
        <v>9.1080000000000005</v>
      </c>
      <c r="L53" s="127">
        <f>SUM(Data!K$125:K$127,Data!K$129,Data!K$132)</f>
        <v>9.766</v>
      </c>
      <c r="M53" s="127">
        <f>SUM(Data!L$125:L$127,Data!L$129,Data!L$132)</f>
        <v>10.535</v>
      </c>
      <c r="N53" s="127">
        <f>SUM(Data!M$125:M$127,Data!M$129,Data!M$132)</f>
        <v>11.132999999999999</v>
      </c>
      <c r="O53" s="81">
        <f ca="1">IF(OFFSET(Scenarios!$A$59,0,$C$1)="Yes",IF(N$53/N$244&lt;OFFSET(Scenarios!$A$68,0,$C$1),MIN(N$53/N$244+OFFSET(Scenarios!$A$63,0,$C$1),OFFSET(Scenarios!$A$68,0,$C$1)),MAX(N$53/N$244-OFFSET(Scenarios!$A$63,0,$C$1),OFFSET(Scenarios!$A$68,0,$C$1)))*O$244,N$53*(1+O$245))</f>
        <v>11.55672908744188</v>
      </c>
      <c r="P53" s="81">
        <f ca="1">IF(OFFSET(Scenarios!$A$59,0,$C$1)="Yes",IF(O$53/O$244&lt;OFFSET(Scenarios!$A$68,0,$C$1),MIN(O$53/O$244+OFFSET(Scenarios!$A$63,0,$C$1),OFFSET(Scenarios!$A$68,0,$C$1)),MAX(O$53/O$244-OFFSET(Scenarios!$A$63,0,$C$1),OFFSET(Scenarios!$A$68,0,$C$1)))*P$244,O$53*(1+P$245))</f>
        <v>12.076672727426105</v>
      </c>
      <c r="Q53" s="81">
        <f ca="1">IF(OFFSET(Scenarios!$A$59,0,$C$1)="Yes",IF(P$53/P$244&lt;OFFSET(Scenarios!$A$68,0,$C$1),MIN(P$53/P$244+OFFSET(Scenarios!$A$63,0,$C$1),OFFSET(Scenarios!$A$68,0,$C$1)),MAX(P$53/P$244-OFFSET(Scenarios!$A$63,0,$C$1),OFFSET(Scenarios!$A$68,0,$C$1)))*Q$244,P$53*(1+Q$245))</f>
        <v>12.633930334232296</v>
      </c>
      <c r="R53" s="81">
        <f ca="1">IF(OFFSET(Scenarios!$A$59,0,$C$1)="Yes",IF(Q$53/Q$244&lt;OFFSET(Scenarios!$A$68,0,$C$1),MIN(Q$53/Q$244+OFFSET(Scenarios!$A$63,0,$C$1),OFFSET(Scenarios!$A$68,0,$C$1)),MAX(Q$53/Q$244-OFFSET(Scenarios!$A$63,0,$C$1),OFFSET(Scenarios!$A$68,0,$C$1)))*R$244,Q$53*(1+R$245))</f>
        <v>13.218451763277603</v>
      </c>
      <c r="S53" s="81">
        <f ca="1">IF(OFFSET(Scenarios!$A$59,0,$C$1)="Yes",IF(R$53/R$244&lt;OFFSET(Scenarios!$A$68,0,$C$1),MIN(R$53/R$244+OFFSET(Scenarios!$A$63,0,$C$1),OFFSET(Scenarios!$A$68,0,$C$1)),MAX(R$53/R$244-OFFSET(Scenarios!$A$63,0,$C$1),OFFSET(Scenarios!$A$68,0,$C$1)))*S$244,R$53*(1+S$245))</f>
        <v>13.82630738760721</v>
      </c>
      <c r="T53" s="81">
        <f ca="1">IF(OFFSET(Scenarios!$A$59,0,$C$1)="Yes",IF(S$53/S$244&lt;OFFSET(Scenarios!$A$68,0,$C$1),MIN(S$53/S$244+OFFSET(Scenarios!$A$63,0,$C$1),OFFSET(Scenarios!$A$68,0,$C$1)),MAX(S$53/S$244-OFFSET(Scenarios!$A$63,0,$C$1),OFFSET(Scenarios!$A$68,0,$C$1)))*T$244,S$53*(1+T$245))</f>
        <v>14.450555104719303</v>
      </c>
      <c r="U53" s="81">
        <f ca="1">IF(OFFSET(Scenarios!$A$59,0,$C$1)="Yes",IF(T$53/T$244&lt;OFFSET(Scenarios!$A$68,0,$C$1),MIN(T$53/T$244+OFFSET(Scenarios!$A$63,0,$C$1),OFFSET(Scenarios!$A$68,0,$C$1)),MAX(T$53/T$244-OFFSET(Scenarios!$A$63,0,$C$1),OFFSET(Scenarios!$A$68,0,$C$1)))*U$244,T$53*(1+U$245))</f>
        <v>15.092646280771142</v>
      </c>
      <c r="V53" s="81">
        <f ca="1">IF(OFFSET(Scenarios!$A$59,0,$C$1)="Yes",IF(U$53/U$244&lt;OFFSET(Scenarios!$A$68,0,$C$1),MIN(U$53/U$244+OFFSET(Scenarios!$A$63,0,$C$1),OFFSET(Scenarios!$A$68,0,$C$1)),MAX(U$53/U$244-OFFSET(Scenarios!$A$63,0,$C$1),OFFSET(Scenarios!$A$68,0,$C$1)))*V$244,U$53*(1+V$245))</f>
        <v>15.759501361732523</v>
      </c>
      <c r="W53" s="81">
        <f ca="1">IF(OFFSET(Scenarios!$A$59,0,$C$1)="Yes",IF(V$53/V$244&lt;OFFSET(Scenarios!$A$68,0,$C$1),MIN(V$53/V$244+OFFSET(Scenarios!$A$63,0,$C$1),OFFSET(Scenarios!$A$68,0,$C$1)),MAX(V$53/V$244-OFFSET(Scenarios!$A$63,0,$C$1),OFFSET(Scenarios!$A$68,0,$C$1)))*W$244,V$53*(1+W$245))</f>
        <v>16.447146649883642</v>
      </c>
      <c r="X53" s="81">
        <f ca="1">IF(OFFSET(Scenarios!$A$59,0,$C$1)="Yes",IF(W$53/W$244&lt;OFFSET(Scenarios!$A$68,0,$C$1),MIN(W$53/W$244+OFFSET(Scenarios!$A$63,0,$C$1),OFFSET(Scenarios!$A$68,0,$C$1)),MAX(W$53/W$244-OFFSET(Scenarios!$A$63,0,$C$1),OFFSET(Scenarios!$A$68,0,$C$1)))*X$244,W$53*(1+X$245))</f>
        <v>17.154185797534346</v>
      </c>
    </row>
    <row r="54" spans="1:24" x14ac:dyDescent="0.2">
      <c r="A54" s="27" t="s">
        <v>243</v>
      </c>
      <c r="C54" s="69"/>
      <c r="D54" s="71">
        <f t="shared" ref="D54:X54" si="24">SUM(D$49:D$53)</f>
        <v>53.063999999999993</v>
      </c>
      <c r="E54" s="71">
        <f t="shared" si="24"/>
        <v>56.372</v>
      </c>
      <c r="F54" s="71">
        <f t="shared" si="24"/>
        <v>54.145000000000003</v>
      </c>
      <c r="G54" s="71">
        <f t="shared" si="24"/>
        <v>50.347000000000001</v>
      </c>
      <c r="H54" s="71">
        <f t="shared" si="24"/>
        <v>51.128</v>
      </c>
      <c r="I54" s="71">
        <f t="shared" si="24"/>
        <v>54.664999999999992</v>
      </c>
      <c r="J54" s="128">
        <f t="shared" si="24"/>
        <v>57.838999999999999</v>
      </c>
      <c r="K54" s="128">
        <f t="shared" si="24"/>
        <v>61.772999999999996</v>
      </c>
      <c r="L54" s="128">
        <f t="shared" si="24"/>
        <v>65.393999999999991</v>
      </c>
      <c r="M54" s="128">
        <f t="shared" si="24"/>
        <v>68.903000000000006</v>
      </c>
      <c r="N54" s="128">
        <f t="shared" si="24"/>
        <v>71.981999999999999</v>
      </c>
      <c r="O54" s="75">
        <f t="shared" ca="1" si="24"/>
        <v>76.059647517807136</v>
      </c>
      <c r="P54" s="75">
        <f t="shared" ca="1" si="24"/>
        <v>79.928880603791214</v>
      </c>
      <c r="Q54" s="75">
        <f t="shared" ca="1" si="24"/>
        <v>84.025369057493293</v>
      </c>
      <c r="R54" s="75">
        <f t="shared" ca="1" si="24"/>
        <v>88.225480373504013</v>
      </c>
      <c r="S54" s="75">
        <f t="shared" ca="1" si="24"/>
        <v>92.282563261471381</v>
      </c>
      <c r="T54" s="75">
        <f t="shared" ca="1" si="24"/>
        <v>96.449053838475351</v>
      </c>
      <c r="U54" s="75">
        <f t="shared" ca="1" si="24"/>
        <v>100.7346391297981</v>
      </c>
      <c r="V54" s="75">
        <f t="shared" ca="1" si="24"/>
        <v>105.18550908877289</v>
      </c>
      <c r="W54" s="75">
        <f t="shared" ca="1" si="24"/>
        <v>109.77514159340944</v>
      </c>
      <c r="X54" s="75">
        <f t="shared" ca="1" si="24"/>
        <v>114.49421683470598</v>
      </c>
    </row>
    <row r="55" spans="1:24" x14ac:dyDescent="0.2">
      <c r="A55" s="158" t="s">
        <v>511</v>
      </c>
      <c r="C55" s="69"/>
      <c r="D55" s="173">
        <f t="shared" ref="D55:N55" si="25">D$56-D$54</f>
        <v>0.41300000000000381</v>
      </c>
      <c r="E55" s="173">
        <f t="shared" si="25"/>
        <v>0.375</v>
      </c>
      <c r="F55" s="173">
        <f t="shared" si="25"/>
        <v>0.53599999999999426</v>
      </c>
      <c r="G55" s="173">
        <f t="shared" si="25"/>
        <v>0.39699999999999847</v>
      </c>
      <c r="H55" s="173">
        <f t="shared" si="25"/>
        <v>0.42900000000000205</v>
      </c>
      <c r="I55" s="173">
        <f t="shared" si="25"/>
        <v>0.41600000000001103</v>
      </c>
      <c r="J55" s="127">
        <f t="shared" si="25"/>
        <v>0.44700000000000273</v>
      </c>
      <c r="K55" s="127">
        <f t="shared" si="25"/>
        <v>0.61000000000000654</v>
      </c>
      <c r="L55" s="127">
        <f t="shared" si="25"/>
        <v>0.68600000000000705</v>
      </c>
      <c r="M55" s="127">
        <f t="shared" si="25"/>
        <v>0.77599999999999625</v>
      </c>
      <c r="N55" s="127">
        <f t="shared" si="25"/>
        <v>0.83799999999999386</v>
      </c>
      <c r="O55" s="81">
        <f t="shared" ref="O55:X55" ca="1" si="26">N$55*(1+O$245)</f>
        <v>0.87560342212018083</v>
      </c>
      <c r="P55" s="81">
        <f t="shared" ca="1" si="26"/>
        <v>0.91499730485595632</v>
      </c>
      <c r="Q55" s="81">
        <f t="shared" ca="1" si="26"/>
        <v>0.95721830561059196</v>
      </c>
      <c r="R55" s="81">
        <f t="shared" ca="1" si="26"/>
        <v>1.0015049683593802</v>
      </c>
      <c r="S55" s="81">
        <f t="shared" ca="1" si="26"/>
        <v>1.0475595622493037</v>
      </c>
      <c r="T55" s="81">
        <f t="shared" ca="1" si="26"/>
        <v>1.0948561141731534</v>
      </c>
      <c r="U55" s="81">
        <f t="shared" ca="1" si="26"/>
        <v>1.143504587872783</v>
      </c>
      <c r="V55" s="81">
        <f t="shared" ca="1" si="26"/>
        <v>1.1940293156335566</v>
      </c>
      <c r="W55" s="81">
        <f t="shared" ca="1" si="26"/>
        <v>1.2461292275510398</v>
      </c>
      <c r="X55" s="81">
        <f t="shared" ca="1" si="26"/>
        <v>1.2996985283948765</v>
      </c>
    </row>
    <row r="56" spans="1:24" x14ac:dyDescent="0.2">
      <c r="A56" s="27" t="s">
        <v>333</v>
      </c>
      <c r="B56" s="228"/>
      <c r="C56" s="69"/>
      <c r="D56" s="71">
        <f>Data!C$100</f>
        <v>53.476999999999997</v>
      </c>
      <c r="E56" s="71">
        <f>Data!D$100</f>
        <v>56.747</v>
      </c>
      <c r="F56" s="71">
        <f>Data!E$100</f>
        <v>54.680999999999997</v>
      </c>
      <c r="G56" s="71">
        <f>Data!F$100</f>
        <v>50.744</v>
      </c>
      <c r="H56" s="71">
        <f>Data!G$100</f>
        <v>51.557000000000002</v>
      </c>
      <c r="I56" s="71">
        <f>Data!H$100</f>
        <v>55.081000000000003</v>
      </c>
      <c r="J56" s="128">
        <f>Data!I$100</f>
        <v>58.286000000000001</v>
      </c>
      <c r="K56" s="128">
        <f>Data!J$100</f>
        <v>62.383000000000003</v>
      </c>
      <c r="L56" s="128">
        <f>Data!K$100</f>
        <v>66.08</v>
      </c>
      <c r="M56" s="128">
        <f>Data!L$100</f>
        <v>69.679000000000002</v>
      </c>
      <c r="N56" s="128">
        <f>Data!M$100</f>
        <v>72.819999999999993</v>
      </c>
      <c r="O56" s="75">
        <f t="shared" ref="O56:X56" ca="1" si="27">SUM(O$54,O$55)</f>
        <v>76.935250939927315</v>
      </c>
      <c r="P56" s="75">
        <f t="shared" ca="1" si="27"/>
        <v>80.843877908647173</v>
      </c>
      <c r="Q56" s="75">
        <f t="shared" ca="1" si="27"/>
        <v>84.982587363103889</v>
      </c>
      <c r="R56" s="75">
        <f t="shared" ca="1" si="27"/>
        <v>89.226985341863397</v>
      </c>
      <c r="S56" s="75">
        <f t="shared" ca="1" si="27"/>
        <v>93.330122823720686</v>
      </c>
      <c r="T56" s="75">
        <f t="shared" ca="1" si="27"/>
        <v>97.543909952648505</v>
      </c>
      <c r="U56" s="75">
        <f t="shared" ca="1" si="27"/>
        <v>101.87814371767088</v>
      </c>
      <c r="V56" s="75">
        <f t="shared" ca="1" si="27"/>
        <v>106.37953840440645</v>
      </c>
      <c r="W56" s="75">
        <f t="shared" ca="1" si="27"/>
        <v>111.02127082096048</v>
      </c>
      <c r="X56" s="75">
        <f t="shared" ca="1" si="27"/>
        <v>115.79391536310085</v>
      </c>
    </row>
    <row r="57" spans="1:24" x14ac:dyDescent="0.2">
      <c r="A57" s="2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x14ac:dyDescent="0.2">
      <c r="A58" s="106" t="s">
        <v>512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x14ac:dyDescent="0.2">
      <c r="A59" s="157" t="s">
        <v>645</v>
      </c>
      <c r="C59" s="69"/>
      <c r="D59" s="69">
        <f>D$217</f>
        <v>0</v>
      </c>
      <c r="E59" s="69">
        <f t="shared" ref="E59:X59" si="28">E$217</f>
        <v>0</v>
      </c>
      <c r="F59" s="69">
        <f t="shared" si="28"/>
        <v>0</v>
      </c>
      <c r="G59" s="69">
        <f t="shared" si="28"/>
        <v>2.3E-2</v>
      </c>
      <c r="H59" s="69">
        <f t="shared" si="28"/>
        <v>0.32200000000000001</v>
      </c>
      <c r="I59" s="69">
        <f t="shared" si="28"/>
        <v>0.57099999999999995</v>
      </c>
      <c r="J59" s="123">
        <f t="shared" si="28"/>
        <v>0.38200000000000001</v>
      </c>
      <c r="K59" s="123">
        <f t="shared" si="28"/>
        <v>5.0000000000000001E-3</v>
      </c>
      <c r="L59" s="123">
        <f t="shared" si="28"/>
        <v>5.0000000000000001E-3</v>
      </c>
      <c r="M59" s="123">
        <f t="shared" si="28"/>
        <v>5.0000000000000001E-3</v>
      </c>
      <c r="N59" s="123">
        <f t="shared" si="28"/>
        <v>5.0000000000000001E-3</v>
      </c>
      <c r="O59" s="73">
        <f t="shared" ca="1" si="28"/>
        <v>5.1019104716227013E-3</v>
      </c>
      <c r="P59" s="73">
        <f t="shared" ca="1" si="28"/>
        <v>5.2039486810551558E-3</v>
      </c>
      <c r="Q59" s="73">
        <f t="shared" ca="1" si="28"/>
        <v>5.3080276546762593E-3</v>
      </c>
      <c r="R59" s="73">
        <f t="shared" ca="1" si="28"/>
        <v>5.4141882077697844E-3</v>
      </c>
      <c r="S59" s="73">
        <f t="shared" ca="1" si="28"/>
        <v>5.5224719719251802E-3</v>
      </c>
      <c r="T59" s="73">
        <f t="shared" ca="1" si="28"/>
        <v>5.6329214113636844E-3</v>
      </c>
      <c r="U59" s="73">
        <f t="shared" ca="1" si="28"/>
        <v>5.7455798395909582E-3</v>
      </c>
      <c r="V59" s="73">
        <f t="shared" ca="1" si="28"/>
        <v>5.8604914363827778E-3</v>
      </c>
      <c r="W59" s="73">
        <f t="shared" ca="1" si="28"/>
        <v>5.9777012651104338E-3</v>
      </c>
      <c r="X59" s="73">
        <f t="shared" ca="1" si="28"/>
        <v>6.0972552904126429E-3</v>
      </c>
    </row>
    <row r="60" spans="1:24" x14ac:dyDescent="0.2">
      <c r="A60" s="157" t="s">
        <v>646</v>
      </c>
      <c r="B60" s="228"/>
      <c r="C60" s="69"/>
      <c r="D60" s="173">
        <f>SUM(Data!C$101,Data!C$102,Data!C$104)-D$59</f>
        <v>2.1539999999999999</v>
      </c>
      <c r="E60" s="173">
        <f>SUM(Data!D$101,Data!D$102,Data!D$104)-E$59</f>
        <v>2.7280000000000002</v>
      </c>
      <c r="F60" s="173">
        <f>SUM(Data!E$101,Data!E$102,Data!E$104)-F$59</f>
        <v>2.9289999999999998</v>
      </c>
      <c r="G60" s="173">
        <f>SUM(Data!F$101,Data!F$102,Data!F$104)-G$59</f>
        <v>3.3140000000000001</v>
      </c>
      <c r="H60" s="173">
        <f>SUM(Data!G$101,Data!G$102,Data!G$104)-H$59</f>
        <v>3.5019999999999998</v>
      </c>
      <c r="I60" s="173">
        <f>SUM(Data!H$101,Data!H$102,Data!H$104)-I$59</f>
        <v>3.1180000000000003</v>
      </c>
      <c r="J60" s="127">
        <f>SUM(Data!I$101,Data!I$102,Data!I$104)-J$59</f>
        <v>2.9449999999999998</v>
      </c>
      <c r="K60" s="127">
        <f>SUM(Data!J$101,Data!J$102,Data!J$104)-K$59</f>
        <v>3.3550000000000004</v>
      </c>
      <c r="L60" s="127">
        <f>SUM(Data!K$101,Data!K$102,Data!K$104)-L$59</f>
        <v>3.286</v>
      </c>
      <c r="M60" s="127">
        <f>SUM(Data!L$101,Data!L$102,Data!L$104)-M$59</f>
        <v>3.1160000000000001</v>
      </c>
      <c r="N60" s="127">
        <f>SUM(Data!M$101,Data!M$102,Data!M$104)-N$59</f>
        <v>3.1590000000000003</v>
      </c>
      <c r="O60" s="81">
        <f ca="1">(N$60-0.253)*(1+O$247)</f>
        <v>2.9652303661071144</v>
      </c>
      <c r="P60" s="81">
        <f t="shared" ref="P60:X60" ca="1" si="29">O$60*(1+P$247)</f>
        <v>3.0245349734292568</v>
      </c>
      <c r="Q60" s="81">
        <f t="shared" ca="1" si="29"/>
        <v>3.0850256728978418</v>
      </c>
      <c r="R60" s="81">
        <f t="shared" ca="1" si="29"/>
        <v>3.1467261863557985</v>
      </c>
      <c r="S60" s="81">
        <f t="shared" ca="1" si="29"/>
        <v>3.2096607100829146</v>
      </c>
      <c r="T60" s="81">
        <f t="shared" ca="1" si="29"/>
        <v>3.2738539242845728</v>
      </c>
      <c r="U60" s="81">
        <f t="shared" ca="1" si="29"/>
        <v>3.3393310027702645</v>
      </c>
      <c r="V60" s="81">
        <f t="shared" ca="1" si="29"/>
        <v>3.4061176228256698</v>
      </c>
      <c r="W60" s="81">
        <f t="shared" ca="1" si="29"/>
        <v>3.4742399752821833</v>
      </c>
      <c r="X60" s="81">
        <f t="shared" ca="1" si="29"/>
        <v>3.5437247747878269</v>
      </c>
    </row>
    <row r="61" spans="1:24" x14ac:dyDescent="0.2">
      <c r="A61" s="27" t="s">
        <v>514</v>
      </c>
      <c r="C61" s="69"/>
      <c r="D61" s="71">
        <f>SUM(D$59:D$60)</f>
        <v>2.1539999999999999</v>
      </c>
      <c r="E61" s="71">
        <f t="shared" ref="E61:X61" si="30">SUM(E$59:E$60)</f>
        <v>2.7280000000000002</v>
      </c>
      <c r="F61" s="71">
        <f t="shared" si="30"/>
        <v>2.9289999999999998</v>
      </c>
      <c r="G61" s="71">
        <f t="shared" si="30"/>
        <v>3.3370000000000002</v>
      </c>
      <c r="H61" s="71">
        <f t="shared" si="30"/>
        <v>3.8239999999999998</v>
      </c>
      <c r="I61" s="71">
        <f t="shared" si="30"/>
        <v>3.6890000000000001</v>
      </c>
      <c r="J61" s="128">
        <f t="shared" si="30"/>
        <v>3.327</v>
      </c>
      <c r="K61" s="128">
        <f t="shared" si="30"/>
        <v>3.3600000000000003</v>
      </c>
      <c r="L61" s="128">
        <f t="shared" si="30"/>
        <v>3.2909999999999999</v>
      </c>
      <c r="M61" s="128">
        <f t="shared" si="30"/>
        <v>3.121</v>
      </c>
      <c r="N61" s="128">
        <f t="shared" si="30"/>
        <v>3.1640000000000001</v>
      </c>
      <c r="O61" s="75">
        <f t="shared" ca="1" si="30"/>
        <v>2.9703322765787372</v>
      </c>
      <c r="P61" s="75">
        <f t="shared" ca="1" si="30"/>
        <v>3.0297389221103121</v>
      </c>
      <c r="Q61" s="75">
        <f t="shared" ca="1" si="30"/>
        <v>3.090333700552518</v>
      </c>
      <c r="R61" s="75">
        <f t="shared" ca="1" si="30"/>
        <v>3.1521403745635683</v>
      </c>
      <c r="S61" s="75">
        <f t="shared" ca="1" si="30"/>
        <v>3.2151831820548398</v>
      </c>
      <c r="T61" s="75">
        <f t="shared" ca="1" si="30"/>
        <v>3.2794868456959363</v>
      </c>
      <c r="U61" s="75">
        <f t="shared" ca="1" si="30"/>
        <v>3.3450765826098556</v>
      </c>
      <c r="V61" s="75">
        <f t="shared" ca="1" si="30"/>
        <v>3.4119781142620527</v>
      </c>
      <c r="W61" s="75">
        <f t="shared" ca="1" si="30"/>
        <v>3.4802176765472939</v>
      </c>
      <c r="X61" s="75">
        <f t="shared" ca="1" si="30"/>
        <v>3.5498220300782397</v>
      </c>
    </row>
    <row r="62" spans="1:24" x14ac:dyDescent="0.2">
      <c r="A62" s="27" t="s">
        <v>513</v>
      </c>
      <c r="B62" s="228"/>
      <c r="C62" s="69"/>
      <c r="D62" s="71">
        <f>SUM(Data!C$6,Data!C$7,Data!C$9)</f>
        <v>18.529999999999998</v>
      </c>
      <c r="E62" s="71">
        <f>SUM(Data!D$6,Data!D$7,Data!D$9)</f>
        <v>21.893000000000001</v>
      </c>
      <c r="F62" s="71">
        <f>SUM(Data!E$6,Data!E$7,Data!E$9)</f>
        <v>22.364000000000001</v>
      </c>
      <c r="G62" s="71">
        <f>SUM(Data!F$6,Data!F$7,Data!F$9)</f>
        <v>22.062999999999999</v>
      </c>
      <c r="H62" s="71">
        <f>SUM(Data!G$6,Data!G$7,Data!G$9)</f>
        <v>27.864999999999998</v>
      </c>
      <c r="I62" s="71">
        <f>SUM(Data!H$6,Data!H$7,Data!H$9)</f>
        <v>26.055</v>
      </c>
      <c r="J62" s="128">
        <f>SUM(Data!I$6,Data!I$7,Data!I$9)</f>
        <v>25.573</v>
      </c>
      <c r="K62" s="128">
        <f>SUM(Data!J$6,Data!J$7,Data!J$9)</f>
        <v>26.242999999999999</v>
      </c>
      <c r="L62" s="128">
        <f>SUM(Data!K$6,Data!K$7,Data!K$9)</f>
        <v>26.780999999999999</v>
      </c>
      <c r="M62" s="128">
        <f>SUM(Data!L$6,Data!L$7,Data!L$9)</f>
        <v>26.730999999999995</v>
      </c>
      <c r="N62" s="128">
        <f>SUM(Data!M$6,Data!M$7,Data!M$9)</f>
        <v>27.448</v>
      </c>
      <c r="O62" s="75">
        <f t="shared" ref="O62:X62" ca="1" si="31">SUM(O$61,(N$62-N$61)*(1+O$245))</f>
        <v>28.344023807326504</v>
      </c>
      <c r="P62" s="75">
        <f t="shared" ca="1" si="31"/>
        <v>29.545006882876667</v>
      </c>
      <c r="Q62" s="75">
        <f t="shared" ca="1" si="31"/>
        <v>30.829103788199038</v>
      </c>
      <c r="R62" s="75">
        <f t="shared" ca="1" si="31"/>
        <v>32.174272417092645</v>
      </c>
      <c r="S62" s="75">
        <f t="shared" ca="1" si="31"/>
        <v>33.57190920790481</v>
      </c>
      <c r="T62" s="75">
        <f t="shared" ca="1" si="31"/>
        <v>35.006796960947788</v>
      </c>
      <c r="U62" s="75">
        <f t="shared" ca="1" si="31"/>
        <v>36.482147479868651</v>
      </c>
      <c r="V62" s="75">
        <f t="shared" ca="1" si="31"/>
        <v>38.013180859901084</v>
      </c>
      <c r="W62" s="75">
        <f t="shared" ca="1" si="31"/>
        <v>39.591198776606568</v>
      </c>
      <c r="X62" s="75">
        <f t="shared" ca="1" si="31"/>
        <v>41.213162201368711</v>
      </c>
    </row>
    <row r="63" spans="1:24" x14ac:dyDescent="0.2">
      <c r="A63" s="31"/>
      <c r="C63" s="69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">
      <c r="A64" s="106" t="s">
        <v>515</v>
      </c>
      <c r="C64" s="69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 s="31" t="s">
        <v>387</v>
      </c>
      <c r="B65" s="77"/>
      <c r="C65" s="69"/>
      <c r="D65" s="69">
        <f t="shared" ref="D65:X65" si="32">D$171</f>
        <v>0.436</v>
      </c>
      <c r="E65" s="69">
        <f t="shared" si="32"/>
        <v>0.38500000000000001</v>
      </c>
      <c r="F65" s="69">
        <f t="shared" si="32"/>
        <v>0.38300000000000001</v>
      </c>
      <c r="G65" s="69">
        <f t="shared" si="32"/>
        <v>0.433</v>
      </c>
      <c r="H65" s="69">
        <f t="shared" si="32"/>
        <v>0.51800000000000002</v>
      </c>
      <c r="I65" s="69">
        <f t="shared" si="32"/>
        <v>0.53900000000000003</v>
      </c>
      <c r="J65" s="103">
        <f t="shared" si="32"/>
        <v>0.64700000000000002</v>
      </c>
      <c r="K65" s="103">
        <f t="shared" si="32"/>
        <v>0.77700000000000002</v>
      </c>
      <c r="L65" s="103">
        <f t="shared" si="32"/>
        <v>0.80500000000000005</v>
      </c>
      <c r="M65" s="103">
        <f t="shared" si="32"/>
        <v>0.86</v>
      </c>
      <c r="N65" s="103">
        <f t="shared" si="32"/>
        <v>0.91800000000000004</v>
      </c>
      <c r="O65" s="73">
        <f t="shared" si="32"/>
        <v>0.79525208886168919</v>
      </c>
      <c r="P65" s="73">
        <f t="shared" si="32"/>
        <v>0.85246773981511936</v>
      </c>
      <c r="Q65" s="73">
        <f t="shared" si="32"/>
        <v>0.91430962725805276</v>
      </c>
      <c r="R65" s="73">
        <f t="shared" si="32"/>
        <v>1.0180549372569283</v>
      </c>
      <c r="S65" s="73">
        <f t="shared" si="32"/>
        <v>1.1652201900625911</v>
      </c>
      <c r="T65" s="73">
        <f t="shared" si="32"/>
        <v>1.3080860183242249</v>
      </c>
      <c r="U65" s="73">
        <f t="shared" si="32"/>
        <v>1.454753964758311</v>
      </c>
      <c r="V65" s="73">
        <f t="shared" si="32"/>
        <v>1.6043036666444859</v>
      </c>
      <c r="W65" s="73">
        <f t="shared" si="32"/>
        <v>1.7558109344051176</v>
      </c>
      <c r="X65" s="73">
        <f t="shared" si="32"/>
        <v>1.9080211687307396</v>
      </c>
    </row>
    <row r="66" spans="1:24" x14ac:dyDescent="0.2">
      <c r="A66" s="31" t="s">
        <v>388</v>
      </c>
      <c r="B66" s="77"/>
      <c r="C66" s="69"/>
      <c r="D66" s="69">
        <f>D$193</f>
        <v>0.36</v>
      </c>
      <c r="E66" s="69">
        <f t="shared" ref="E66:X66" si="33">E$193</f>
        <v>0.40699999999999997</v>
      </c>
      <c r="F66" s="69">
        <f t="shared" si="33"/>
        <v>0.46500000000000002</v>
      </c>
      <c r="G66" s="69">
        <f t="shared" si="33"/>
        <v>0.46300000000000002</v>
      </c>
      <c r="H66" s="69">
        <f t="shared" si="33"/>
        <v>0.48399999999999999</v>
      </c>
      <c r="I66" s="69">
        <f t="shared" si="33"/>
        <v>0.52600000000000002</v>
      </c>
      <c r="J66" s="103">
        <f t="shared" si="33"/>
        <v>0.58099999999999996</v>
      </c>
      <c r="K66" s="103">
        <f t="shared" si="33"/>
        <v>0.6</v>
      </c>
      <c r="L66" s="103">
        <f t="shared" si="33"/>
        <v>0.63100000000000001</v>
      </c>
      <c r="M66" s="103">
        <f t="shared" si="33"/>
        <v>0.66300000000000003</v>
      </c>
      <c r="N66" s="103">
        <f t="shared" si="33"/>
        <v>0.69499999999999995</v>
      </c>
      <c r="O66" s="73">
        <f t="shared" si="33"/>
        <v>0.71199999999999997</v>
      </c>
      <c r="P66" s="73">
        <f t="shared" si="33"/>
        <v>0.72799999999999998</v>
      </c>
      <c r="Q66" s="73">
        <f t="shared" si="33"/>
        <v>0.745</v>
      </c>
      <c r="R66" s="73">
        <f t="shared" si="33"/>
        <v>0.7629999999999999</v>
      </c>
      <c r="S66" s="73">
        <f t="shared" si="33"/>
        <v>0.78299999999999992</v>
      </c>
      <c r="T66" s="73">
        <f t="shared" si="33"/>
        <v>0.80399999999999994</v>
      </c>
      <c r="U66" s="73">
        <f t="shared" si="33"/>
        <v>0.82699999999999996</v>
      </c>
      <c r="V66" s="73">
        <f t="shared" si="33"/>
        <v>0.85099999999999998</v>
      </c>
      <c r="W66" s="73">
        <f t="shared" si="33"/>
        <v>0.87699999999999989</v>
      </c>
      <c r="X66" s="73">
        <f t="shared" si="33"/>
        <v>0.90499999999999992</v>
      </c>
    </row>
    <row r="67" spans="1:24" x14ac:dyDescent="0.2">
      <c r="A67" s="31" t="s">
        <v>1050</v>
      </c>
      <c r="B67" s="77"/>
      <c r="C67" s="69"/>
      <c r="D67" s="69">
        <f t="shared" ref="D67:N67" si="34">D$165*D$143</f>
        <v>0</v>
      </c>
      <c r="E67" s="69">
        <f t="shared" si="34"/>
        <v>0</v>
      </c>
      <c r="F67" s="69">
        <f t="shared" si="34"/>
        <v>0</v>
      </c>
      <c r="G67" s="69">
        <f t="shared" si="34"/>
        <v>0</v>
      </c>
      <c r="H67" s="69">
        <f t="shared" si="34"/>
        <v>0</v>
      </c>
      <c r="I67" s="69">
        <f t="shared" si="34"/>
        <v>0</v>
      </c>
      <c r="J67" s="103">
        <f t="shared" si="34"/>
        <v>0</v>
      </c>
      <c r="K67" s="103">
        <f t="shared" si="34"/>
        <v>0</v>
      </c>
      <c r="L67" s="103">
        <f t="shared" si="34"/>
        <v>0</v>
      </c>
      <c r="M67" s="103">
        <f t="shared" si="34"/>
        <v>0</v>
      </c>
      <c r="N67" s="103">
        <f t="shared" si="34"/>
        <v>0</v>
      </c>
      <c r="O67" s="73">
        <f ca="1">O$142-(N$237+(O$34-N$34-(O$36-N$36)-SUM(O$21,O$23,N$67)+SUM(O$20,N$142))/2)*O$143</f>
        <v>0</v>
      </c>
      <c r="P67" s="73">
        <f t="shared" ref="P67:X67" ca="1" si="35">P$142-(O$237+(P$34-O$34-(P$36-O$36)-SUM(P$21,P$23,O$67)+SUM(P$20,O$142))/2)*P$143</f>
        <v>0</v>
      </c>
      <c r="Q67" s="73">
        <f t="shared" ca="1" si="35"/>
        <v>0</v>
      </c>
      <c r="R67" s="73">
        <f t="shared" ca="1" si="35"/>
        <v>0</v>
      </c>
      <c r="S67" s="73">
        <f t="shared" ca="1" si="35"/>
        <v>0</v>
      </c>
      <c r="T67" s="73">
        <f t="shared" ca="1" si="35"/>
        <v>0</v>
      </c>
      <c r="U67" s="73">
        <f t="shared" ca="1" si="35"/>
        <v>0</v>
      </c>
      <c r="V67" s="73">
        <f t="shared" ca="1" si="35"/>
        <v>0</v>
      </c>
      <c r="W67" s="73">
        <f t="shared" ca="1" si="35"/>
        <v>0</v>
      </c>
      <c r="X67" s="73">
        <f t="shared" ca="1" si="35"/>
        <v>0</v>
      </c>
    </row>
    <row r="68" spans="1:24" x14ac:dyDescent="0.2">
      <c r="A68" s="31" t="s">
        <v>636</v>
      </c>
      <c r="B68" s="77"/>
      <c r="C68" s="69"/>
      <c r="D68" s="173">
        <f t="shared" ref="D68:N68" si="36">D$69-SUM(D$65:D$67)</f>
        <v>1.784</v>
      </c>
      <c r="E68" s="173">
        <f t="shared" si="36"/>
        <v>1.5519999999999998</v>
      </c>
      <c r="F68" s="173">
        <f t="shared" si="36"/>
        <v>1.024</v>
      </c>
      <c r="G68" s="173">
        <f t="shared" si="36"/>
        <v>1.2389999999999999</v>
      </c>
      <c r="H68" s="173">
        <f t="shared" si="36"/>
        <v>1.167</v>
      </c>
      <c r="I68" s="173">
        <f t="shared" si="36"/>
        <v>0.73</v>
      </c>
      <c r="J68" s="127">
        <f t="shared" si="36"/>
        <v>0.96800000000000019</v>
      </c>
      <c r="K68" s="127">
        <f t="shared" si="36"/>
        <v>1.2619999999999998</v>
      </c>
      <c r="L68" s="127">
        <f t="shared" si="36"/>
        <v>1.472</v>
      </c>
      <c r="M68" s="127">
        <f t="shared" si="36"/>
        <v>1.5219999999999998</v>
      </c>
      <c r="N68" s="127">
        <f t="shared" si="36"/>
        <v>1.891</v>
      </c>
      <c r="O68" s="368">
        <f t="shared" ref="O68:V68" ca="1" si="37">N$68*SUM(O$157,O$158,O$160)/SUM(N$157,N$158,N$160)</f>
        <v>1.9295425403677056</v>
      </c>
      <c r="P68" s="368">
        <f t="shared" ca="1" si="37"/>
        <v>1.9681333911750596</v>
      </c>
      <c r="Q68" s="368">
        <f t="shared" ca="1" si="37"/>
        <v>2.0074960589985609</v>
      </c>
      <c r="R68" s="368">
        <f t="shared" ca="1" si="37"/>
        <v>2.0476459801785323</v>
      </c>
      <c r="S68" s="368">
        <f t="shared" ca="1" si="37"/>
        <v>2.0885988997821028</v>
      </c>
      <c r="T68" s="368">
        <f t="shared" ca="1" si="37"/>
        <v>2.1303708777777453</v>
      </c>
      <c r="U68" s="368">
        <f t="shared" ca="1" si="37"/>
        <v>2.1729782953333001</v>
      </c>
      <c r="V68" s="368">
        <f t="shared" ca="1" si="37"/>
        <v>2.216437861239966</v>
      </c>
      <c r="W68" s="368">
        <f ca="1">V$68*SUM(W$157,W$158,W$160)/SUM(V$157,V$158,V$160)</f>
        <v>2.260766618464765</v>
      </c>
      <c r="X68" s="368">
        <f ca="1">W$68*SUM(X$157,X$158,X$160)/SUM(W$157,W$158,W$160)</f>
        <v>2.3059819508340609</v>
      </c>
    </row>
    <row r="69" spans="1:24" x14ac:dyDescent="0.2">
      <c r="A69" s="27" t="s">
        <v>391</v>
      </c>
      <c r="B69" s="228"/>
      <c r="C69" s="69"/>
      <c r="D69" s="71">
        <f>Data!C$103</f>
        <v>2.58</v>
      </c>
      <c r="E69" s="71">
        <f>Data!D$103</f>
        <v>2.3439999999999999</v>
      </c>
      <c r="F69" s="71">
        <f>Data!E$103</f>
        <v>1.8720000000000001</v>
      </c>
      <c r="G69" s="71">
        <f>Data!F$103</f>
        <v>2.1349999999999998</v>
      </c>
      <c r="H69" s="71">
        <f>Data!G$103</f>
        <v>2.169</v>
      </c>
      <c r="I69" s="71">
        <f>Data!H$103</f>
        <v>1.7949999999999999</v>
      </c>
      <c r="J69" s="128">
        <f>Data!I$103</f>
        <v>2.1960000000000002</v>
      </c>
      <c r="K69" s="128">
        <f>Data!J$103</f>
        <v>2.6389999999999998</v>
      </c>
      <c r="L69" s="128">
        <f>Data!K$103</f>
        <v>2.9079999999999999</v>
      </c>
      <c r="M69" s="128">
        <f>Data!L$103</f>
        <v>3.0449999999999999</v>
      </c>
      <c r="N69" s="128">
        <f>Data!M$103</f>
        <v>3.504</v>
      </c>
      <c r="O69" s="75">
        <f t="shared" ref="O69:X69" ca="1" si="38">SUM(O$65:O$68)</f>
        <v>3.4367946292293947</v>
      </c>
      <c r="P69" s="75">
        <f t="shared" ca="1" si="38"/>
        <v>3.5486011309901793</v>
      </c>
      <c r="Q69" s="75">
        <f t="shared" ca="1" si="38"/>
        <v>3.6668056862566134</v>
      </c>
      <c r="R69" s="75">
        <f t="shared" ca="1" si="38"/>
        <v>3.8287009174354605</v>
      </c>
      <c r="S69" s="75">
        <f t="shared" ca="1" si="38"/>
        <v>4.0368190898446938</v>
      </c>
      <c r="T69" s="75">
        <f t="shared" ca="1" si="38"/>
        <v>4.2424568961019702</v>
      </c>
      <c r="U69" s="75">
        <f t="shared" ca="1" si="38"/>
        <v>4.4547322600916104</v>
      </c>
      <c r="V69" s="75">
        <f t="shared" ca="1" si="38"/>
        <v>4.6717415278844516</v>
      </c>
      <c r="W69" s="75">
        <f t="shared" ca="1" si="38"/>
        <v>4.8935775528698819</v>
      </c>
      <c r="X69" s="75">
        <f t="shared" ca="1" si="38"/>
        <v>5.1190031195648</v>
      </c>
    </row>
    <row r="70" spans="1:24" x14ac:dyDescent="0.2">
      <c r="A70" s="31" t="s">
        <v>637</v>
      </c>
      <c r="B70" s="228"/>
      <c r="C70" s="69"/>
      <c r="D70" s="69">
        <f>SUM(Data!C$135:C$136)-Data!C$137</f>
        <v>0.41500000000000004</v>
      </c>
      <c r="E70" s="69">
        <f>SUM(Data!D$135:D$136)-Data!D$137</f>
        <v>0.87000000000000011</v>
      </c>
      <c r="F70" s="69">
        <f>SUM(Data!E$135:E$136)-Data!E$137</f>
        <v>1.125</v>
      </c>
      <c r="G70" s="69">
        <f>SUM(Data!F$135:F$136)-Data!F$137</f>
        <v>0.17999999999999972</v>
      </c>
      <c r="H70" s="69">
        <f>SUM(Data!G$135:G$136)-Data!G$137</f>
        <v>0.40100000000000025</v>
      </c>
      <c r="I70" s="69">
        <f>SUM(Data!H$135:H$136)-Data!H$137</f>
        <v>0.96800000000000019</v>
      </c>
      <c r="J70" s="103">
        <f>SUM(Data!I$135:I$136)-Data!I$137</f>
        <v>0.85499999999999976</v>
      </c>
      <c r="K70" s="103">
        <f>SUM(Data!J$135:J$136)-Data!J$137</f>
        <v>0.94900000000000007</v>
      </c>
      <c r="L70" s="103">
        <f>SUM(Data!K$135:K$136)-Data!K$137</f>
        <v>1.123</v>
      </c>
      <c r="M70" s="103">
        <f>SUM(Data!L$135:L$136)-Data!L$137</f>
        <v>1.2849999999999997</v>
      </c>
      <c r="N70" s="103">
        <f>SUM(Data!M$135:M$136)-Data!M$137</f>
        <v>1.5600000000000003</v>
      </c>
      <c r="O70" s="73">
        <f t="shared" ref="O70:X70" ca="1" si="39">N$70*SUM(O$162,O$163)/SUM(N$162,N$163)</f>
        <v>1.6300015972643107</v>
      </c>
      <c r="P70" s="73">
        <f t="shared" ca="1" si="39"/>
        <v>1.7033362715695737</v>
      </c>
      <c r="Q70" s="73">
        <f t="shared" ca="1" si="39"/>
        <v>1.7819338386068437</v>
      </c>
      <c r="R70" s="73">
        <f t="shared" ca="1" si="39"/>
        <v>1.8643767907406266</v>
      </c>
      <c r="S70" s="73">
        <f t="shared" ca="1" si="39"/>
        <v>1.9501108796049242</v>
      </c>
      <c r="T70" s="73">
        <f t="shared" ca="1" si="39"/>
        <v>2.0381569667185357</v>
      </c>
      <c r="U70" s="73">
        <f t="shared" ca="1" si="39"/>
        <v>2.1287197578538848</v>
      </c>
      <c r="V70" s="73">
        <f t="shared" ca="1" si="39"/>
        <v>2.222775336978954</v>
      </c>
      <c r="W70" s="73">
        <f t="shared" ca="1" si="39"/>
        <v>2.3197632398325028</v>
      </c>
      <c r="X70" s="73">
        <f t="shared" ca="1" si="39"/>
        <v>2.4194865206396456</v>
      </c>
    </row>
    <row r="71" spans="1:24" x14ac:dyDescent="0.2">
      <c r="A71" s="31" t="s">
        <v>1059</v>
      </c>
      <c r="B71" s="69"/>
      <c r="C71" s="69"/>
      <c r="D71" s="173">
        <f>(D$166-D$165)*D$145</f>
        <v>0</v>
      </c>
      <c r="E71" s="173">
        <f t="shared" ref="E71:M71" si="40">(E$166-E$165)*E$145</f>
        <v>0</v>
      </c>
      <c r="F71" s="173">
        <f t="shared" si="40"/>
        <v>0</v>
      </c>
      <c r="G71" s="173">
        <f t="shared" si="40"/>
        <v>0</v>
      </c>
      <c r="H71" s="173">
        <f t="shared" si="40"/>
        <v>0</v>
      </c>
      <c r="I71" s="173">
        <f t="shared" si="40"/>
        <v>0</v>
      </c>
      <c r="J71" s="127">
        <f t="shared" si="40"/>
        <v>0</v>
      </c>
      <c r="K71" s="127">
        <f t="shared" si="40"/>
        <v>0</v>
      </c>
      <c r="L71" s="127">
        <f t="shared" si="40"/>
        <v>0</v>
      </c>
      <c r="M71" s="127">
        <f t="shared" si="40"/>
        <v>0</v>
      </c>
      <c r="N71" s="127">
        <f>(N$166-N$165)*N$145</f>
        <v>0</v>
      </c>
      <c r="O71" s="368">
        <f ca="1">O$144-(SUM(N$231,IF(N$234&lt;=0,OFFSET(Scenarios!$A$49,0,$C$1),N$232/N$234)*N$237)+SUM(O$231-N$231,IF(N$234&lt;=0,OFFSET(Scenarios!$A$49,0,$C$1),N$232/N$234)*(O$34-N$34-(O$36-N$36)-SUM(O$21,O$23,N$67)+SUM(O$20,N$142)))/2)*O$145-O$67</f>
        <v>0</v>
      </c>
      <c r="P71" s="368">
        <f ca="1">P$144-(SUM(O$231,IF(O$234&lt;=0,OFFSET(Scenarios!$A$49,0,$C$1),O$232/O$234)*O$237)+SUM(P$231-O$231,IF(O$234&lt;=0,OFFSET(Scenarios!$A$49,0,$C$1),O$232/O$234)*(P$34-O$34-(P$36-O$36)-SUM(P$21,P$23,O$67)+SUM(P$20,O$142)))/2)*P$145-P$67</f>
        <v>0</v>
      </c>
      <c r="Q71" s="368">
        <f ca="1">Q$144-(SUM(P$231,IF(P$234&lt;=0,OFFSET(Scenarios!$A$49,0,$C$1),P$232/P$234)*P$237)+SUM(Q$231-P$231,IF(P$234&lt;=0,OFFSET(Scenarios!$A$49,0,$C$1),P$232/P$234)*(Q$34-P$34-(Q$36-P$36)-SUM(Q$21,Q$23,P$67)+SUM(Q$20,P$142)))/2)*Q$145-Q$67</f>
        <v>0</v>
      </c>
      <c r="R71" s="368">
        <f ca="1">R$144-(SUM(Q$231,IF(Q$234&lt;=0,OFFSET(Scenarios!$A$49,0,$C$1),Q$232/Q$234)*Q$237)+SUM(R$231-Q$231,IF(Q$234&lt;=0,OFFSET(Scenarios!$A$49,0,$C$1),Q$232/Q$234)*(R$34-Q$34-(R$36-Q$36)-SUM(R$21,R$23,Q$67)+SUM(R$20,Q$142)))/2)*R$145-R$67</f>
        <v>0</v>
      </c>
      <c r="S71" s="368">
        <f ca="1">S$144-(SUM(R$231,IF(R$234&lt;=0,OFFSET(Scenarios!$A$49,0,$C$1),R$232/R$234)*R$237)+SUM(S$231-R$231,IF(R$234&lt;=0,OFFSET(Scenarios!$A$49,0,$C$1),R$232/R$234)*(S$34-R$34-(S$36-R$36)-SUM(S$21,S$23,R$67)+SUM(S$20,R$142)))/2)*S$145-S$67</f>
        <v>0</v>
      </c>
      <c r="T71" s="368">
        <f ca="1">T$144-(SUM(S$231,IF(S$234&lt;=0,OFFSET(Scenarios!$A$49,0,$C$1),S$232/S$234)*S$237)+SUM(T$231-S$231,IF(S$234&lt;=0,OFFSET(Scenarios!$A$49,0,$C$1),S$232/S$234)*(T$34-S$34-(T$36-S$36)-SUM(T$21,T$23,S$67)+SUM(T$20,S$142)))/2)*T$145-T$67</f>
        <v>0</v>
      </c>
      <c r="U71" s="368">
        <f ca="1">U$144-(SUM(T$231,IF(T$234&lt;=0,OFFSET(Scenarios!$A$49,0,$C$1),T$232/T$234)*T$237)+SUM(U$231-T$231,IF(T$234&lt;=0,OFFSET(Scenarios!$A$49,0,$C$1),T$232/T$234)*(U$34-T$34-(U$36-T$36)-SUM(U$21,U$23,T$67)+SUM(U$20,T$142)))/2)*U$145-U$67</f>
        <v>0</v>
      </c>
      <c r="V71" s="368">
        <f ca="1">V$144-(SUM(U$231,IF(U$234&lt;=0,OFFSET(Scenarios!$A$49,0,$C$1),U$232/U$234)*U$237)+SUM(V$231-U$231,IF(U$234&lt;=0,OFFSET(Scenarios!$A$49,0,$C$1),U$232/U$234)*(V$34-U$34-(V$36-U$36)-SUM(V$21,V$23,U$67)+SUM(V$20,U$142)))/2)*V$145-V$67</f>
        <v>0</v>
      </c>
      <c r="W71" s="368">
        <f ca="1">W$144-(SUM(V$231,IF(V$234&lt;=0,OFFSET(Scenarios!$A$49,0,$C$1),V$232/V$234)*V$237)+SUM(W$231-V$231,IF(V$234&lt;=0,OFFSET(Scenarios!$A$49,0,$C$1),V$232/V$234)*(W$34-V$34-(W$36-V$36)-SUM(W$21,W$23,V$67)+SUM(W$20,V$142)))/2)*W$145-W$67</f>
        <v>0</v>
      </c>
      <c r="X71" s="368">
        <f ca="1">X$144-(SUM(W$231,IF(W$234&lt;=0,OFFSET(Scenarios!$A$49,0,$C$1),W$232/W$234)*W$237)+SUM(X$231-W$231,IF(W$234&lt;=0,OFFSET(Scenarios!$A$49,0,$C$1),W$232/W$234)*(X$34-W$34-(X$36-W$36)-SUM(X$21,X$23,W$67)+SUM(X$20,W$142)))/2)*X$145-X$67</f>
        <v>0</v>
      </c>
    </row>
    <row r="72" spans="1:24" x14ac:dyDescent="0.2">
      <c r="A72" s="27" t="s">
        <v>334</v>
      </c>
      <c r="B72" s="77"/>
      <c r="C72" s="69"/>
      <c r="D72" s="71">
        <f>SUM(D$69,D$70,D$71)</f>
        <v>2.9950000000000001</v>
      </c>
      <c r="E72" s="71">
        <f t="shared" ref="E72:X72" si="41">SUM(E$69,E$70,E$71)</f>
        <v>3.214</v>
      </c>
      <c r="F72" s="71">
        <f t="shared" si="41"/>
        <v>2.9969999999999999</v>
      </c>
      <c r="G72" s="71">
        <f t="shared" si="41"/>
        <v>2.3149999999999995</v>
      </c>
      <c r="H72" s="71">
        <f t="shared" si="41"/>
        <v>2.5700000000000003</v>
      </c>
      <c r="I72" s="71">
        <f t="shared" si="41"/>
        <v>2.7629999999999999</v>
      </c>
      <c r="J72" s="128">
        <f t="shared" si="41"/>
        <v>3.0510000000000002</v>
      </c>
      <c r="K72" s="128">
        <f t="shared" si="41"/>
        <v>3.5880000000000001</v>
      </c>
      <c r="L72" s="128">
        <f t="shared" si="41"/>
        <v>4.0309999999999997</v>
      </c>
      <c r="M72" s="128">
        <f t="shared" si="41"/>
        <v>4.33</v>
      </c>
      <c r="N72" s="128">
        <f t="shared" si="41"/>
        <v>5.0640000000000001</v>
      </c>
      <c r="O72" s="75">
        <f t="shared" ca="1" si="41"/>
        <v>5.0667962264937056</v>
      </c>
      <c r="P72" s="75">
        <f t="shared" ca="1" si="41"/>
        <v>5.2519374025597525</v>
      </c>
      <c r="Q72" s="75">
        <f t="shared" ca="1" si="41"/>
        <v>5.4487395248634574</v>
      </c>
      <c r="R72" s="75">
        <f t="shared" ca="1" si="41"/>
        <v>5.6930777081760873</v>
      </c>
      <c r="S72" s="75">
        <f t="shared" ca="1" si="41"/>
        <v>5.9869299694496183</v>
      </c>
      <c r="T72" s="75">
        <f t="shared" ca="1" si="41"/>
        <v>6.2806138628205055</v>
      </c>
      <c r="U72" s="75">
        <f t="shared" ca="1" si="41"/>
        <v>6.5834520179454952</v>
      </c>
      <c r="V72" s="75">
        <f t="shared" ca="1" si="41"/>
        <v>6.8945168648634052</v>
      </c>
      <c r="W72" s="75">
        <f t="shared" ca="1" si="41"/>
        <v>7.2133407927023843</v>
      </c>
      <c r="X72" s="75">
        <f t="shared" ca="1" si="41"/>
        <v>7.5384896402044461</v>
      </c>
    </row>
    <row r="73" spans="1:24" x14ac:dyDescent="0.2">
      <c r="A73" s="152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x14ac:dyDescent="0.2">
      <c r="A74" s="106" t="s">
        <v>581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x14ac:dyDescent="0.2">
      <c r="A75" s="31" t="s">
        <v>246</v>
      </c>
      <c r="B75" s="228"/>
      <c r="C75" s="69"/>
      <c r="D75" s="69">
        <f>Data!C$140</f>
        <v>6.81</v>
      </c>
      <c r="E75" s="69">
        <f>Data!D$140</f>
        <v>7.3479999999999999</v>
      </c>
      <c r="F75" s="69">
        <f>Data!E$140</f>
        <v>7.7439999999999998</v>
      </c>
      <c r="G75" s="69">
        <f>Data!F$140</f>
        <v>8.2899999999999991</v>
      </c>
      <c r="H75" s="69">
        <f>Data!G$140</f>
        <v>8.83</v>
      </c>
      <c r="I75" s="69">
        <f>Data!H$140</f>
        <v>9.5839999999999996</v>
      </c>
      <c r="J75" s="123">
        <f>Data!I$140</f>
        <v>10.234999999999999</v>
      </c>
      <c r="K75" s="123">
        <f>Data!J$140</f>
        <v>10.894</v>
      </c>
      <c r="L75" s="123">
        <f>Data!K$140</f>
        <v>11.494999999999999</v>
      </c>
      <c r="M75" s="123">
        <f>Data!L$140</f>
        <v>12.102</v>
      </c>
      <c r="N75" s="123">
        <f>Data!M$140</f>
        <v>12.712</v>
      </c>
      <c r="O75" s="73">
        <f ca="1">N$75*(1+Popn!O$201)*(3*N$94/M$94+O$94/N$94)/4</f>
        <v>13.468656731141532</v>
      </c>
      <c r="P75" s="73">
        <f ca="1">O$75*(1+Popn!P$201)*(3*O$94/N$94+P$94/O$94)/4</f>
        <v>14.209002604683519</v>
      </c>
      <c r="Q75" s="73">
        <f ca="1">P$75*(1+Popn!Q$201)*(3*P$94/O$94+Q$94/P$94)/4</f>
        <v>15.015889222404885</v>
      </c>
      <c r="R75" s="73">
        <f ca="1">Q$75*(1+Popn!R$201)*(3*Q$94/P$94+R$94/Q$94)/4</f>
        <v>16.010570177638794</v>
      </c>
      <c r="S75" s="73">
        <f ca="1">R$75*(1+Popn!S$201)*(3*R$94/Q$94+S$94/R$94)/4</f>
        <v>17.118138013587576</v>
      </c>
      <c r="T75" s="73">
        <f ca="1">S$75*(1+Popn!T$201)*(3*S$94/R$94+T$94/S$94)/4</f>
        <v>18.287283352916536</v>
      </c>
      <c r="U75" s="73">
        <f ca="1">T$75*(1+Popn!U$201)*(3*T$94/S$94+U$94/T$94)/4</f>
        <v>19.561430640615846</v>
      </c>
      <c r="V75" s="73">
        <f ca="1">U$75*(1+Popn!V$201)*(3*U$94/T$94+V$94/U$94)/4</f>
        <v>20.906095139556342</v>
      </c>
      <c r="W75" s="73">
        <f ca="1">V$75*(1+Popn!W$201)*(3*V$94/U$94+W$94/V$94)/4</f>
        <v>22.359237391442296</v>
      </c>
      <c r="X75" s="73">
        <f ca="1">W$75*(1+Popn!X$201)*(3*W$94/V$94+X$94/W$94)/4</f>
        <v>23.896102008268009</v>
      </c>
    </row>
    <row r="76" spans="1:24" x14ac:dyDescent="0.2">
      <c r="A76" s="31" t="s">
        <v>1017</v>
      </c>
      <c r="B76" s="228"/>
      <c r="C76" s="69"/>
      <c r="D76" s="69">
        <f>Data!C$144</f>
        <v>3.786</v>
      </c>
      <c r="E76" s="69">
        <f>Data!D$144</f>
        <v>3.734</v>
      </c>
      <c r="F76" s="69">
        <f>Data!E$144</f>
        <v>3.9890000000000003</v>
      </c>
      <c r="G76" s="69">
        <f>Data!F$144</f>
        <v>4.6360000000000001</v>
      </c>
      <c r="H76" s="69">
        <f>Data!G$144</f>
        <v>4.7490000000000006</v>
      </c>
      <c r="I76" s="69">
        <f>Data!H$144</f>
        <v>4.7939999999999996</v>
      </c>
      <c r="J76" s="123">
        <f>Data!I$144</f>
        <v>4.6550000000000002</v>
      </c>
      <c r="K76" s="123">
        <f>Data!J$144</f>
        <v>0.18099999999999999</v>
      </c>
      <c r="L76" s="123">
        <f>Data!K$144</f>
        <v>0</v>
      </c>
      <c r="M76" s="123">
        <f>Data!L$144</f>
        <v>0</v>
      </c>
      <c r="N76" s="123">
        <f>Data!M$144</f>
        <v>0</v>
      </c>
      <c r="O76" s="73">
        <f>IF(O$2="Proj Yr1",0,N$76)</f>
        <v>0</v>
      </c>
      <c r="P76" s="73">
        <f t="shared" ref="P76:X76" si="42">IF(P$2="Proj Yr1",0,O$76)</f>
        <v>0</v>
      </c>
      <c r="Q76" s="73">
        <f t="shared" si="42"/>
        <v>0</v>
      </c>
      <c r="R76" s="73">
        <f t="shared" si="42"/>
        <v>0</v>
      </c>
      <c r="S76" s="73">
        <f t="shared" si="42"/>
        <v>0</v>
      </c>
      <c r="T76" s="73">
        <f t="shared" si="42"/>
        <v>0</v>
      </c>
      <c r="U76" s="73">
        <f t="shared" si="42"/>
        <v>0</v>
      </c>
      <c r="V76" s="73">
        <f t="shared" si="42"/>
        <v>0</v>
      </c>
      <c r="W76" s="73">
        <f t="shared" si="42"/>
        <v>0</v>
      </c>
      <c r="X76" s="73">
        <f t="shared" si="42"/>
        <v>0</v>
      </c>
    </row>
    <row r="77" spans="1:24" x14ac:dyDescent="0.2">
      <c r="A77" s="31" t="s">
        <v>1018</v>
      </c>
      <c r="B77" s="228"/>
      <c r="C77" s="69"/>
      <c r="D77" s="69">
        <f>Data!C$141</f>
        <v>0</v>
      </c>
      <c r="E77" s="69">
        <f>Data!D$141</f>
        <v>0</v>
      </c>
      <c r="F77" s="69">
        <f>Data!E$141</f>
        <v>0</v>
      </c>
      <c r="G77" s="69">
        <f>Data!F$141</f>
        <v>0</v>
      </c>
      <c r="H77" s="69">
        <f>Data!G$141</f>
        <v>0</v>
      </c>
      <c r="I77" s="69">
        <f>Data!H$141</f>
        <v>0</v>
      </c>
      <c r="J77" s="123">
        <f>Data!I$141</f>
        <v>0</v>
      </c>
      <c r="K77" s="123">
        <f>Data!J$141</f>
        <v>1.7729999999999999</v>
      </c>
      <c r="L77" s="123">
        <f>Data!K$141</f>
        <v>1.867</v>
      </c>
      <c r="M77" s="123">
        <f>Data!L$141</f>
        <v>1.8580000000000001</v>
      </c>
      <c r="N77" s="123">
        <f>Data!M$141</f>
        <v>1.85</v>
      </c>
      <c r="O77" s="73">
        <f ca="1">N$77*(1+O$247)*(1+SUMPRODUCT(Popn!O$204:O$214,Tracks!$F$88:$F$98)+SUMPRODUCT(Popn!O$215:O$225,Tracks!$G$88:$G$98))*AVERAGE(1,O$251*O$254/(N$251*N$254))</f>
        <v>1.8579644926340748</v>
      </c>
      <c r="P77" s="73">
        <f ca="1">O$77*(1+P$247)*(1+SUMPRODUCT(Popn!P$204:P$214,Tracks!$F$88:$F$98)+SUMPRODUCT(Popn!P$215:P$225,Tracks!$G$88:$G$98))*AVERAGE(1,P$251*P$254/(O$251*O$254))</f>
        <v>1.8850299056306727</v>
      </c>
      <c r="Q77" s="73">
        <f ca="1">P$77*(1+Q$247)*(1+SUMPRODUCT(Popn!Q$204:Q$214,Tracks!$F$88:$F$98)+SUMPRODUCT(Popn!Q$215:Q$225,Tracks!$G$88:$G$98))*AVERAGE(1,Q$251*Q$254/(P$251*P$254))</f>
        <v>1.9172541508977528</v>
      </c>
      <c r="R77" s="73">
        <f ca="1">Q$77*(1+R$247)*(1+SUMPRODUCT(Popn!R$204:R$214,Tracks!$F$88:$F$98)+SUMPRODUCT(Popn!R$215:R$225,Tracks!$G$88:$G$98))*AVERAGE(1,R$251*R$254/(Q$251*Q$254))</f>
        <v>1.9487154966567077</v>
      </c>
      <c r="S77" s="73">
        <f ca="1">R$77*(1+S$247)*(1+SUMPRODUCT(Popn!S$204:S$214,Tracks!$F$88:$F$98)+SUMPRODUCT(Popn!S$215:S$225,Tracks!$G$88:$G$98))*AVERAGE(1,S$251*S$254/(R$251*R$254))</f>
        <v>1.9821939356923939</v>
      </c>
      <c r="T77" s="73">
        <f ca="1">S$77*(1+T$247)*(1+SUMPRODUCT(Popn!T$204:T$214,Tracks!$F$88:$F$98)+SUMPRODUCT(Popn!T$215:T$225,Tracks!$G$88:$G$98))*AVERAGE(1,T$251*T$254/(S$251*S$254))</f>
        <v>2.0306716788839654</v>
      </c>
      <c r="U77" s="73">
        <f ca="1">T$77*(1+U$247)*(1+SUMPRODUCT(Popn!U$204:U$214,Tracks!$F$88:$F$98)+SUMPRODUCT(Popn!U$215:U$225,Tracks!$G$88:$G$98))*AVERAGE(1,U$251*U$254/(T$251*T$254))</f>
        <v>2.0870246425662629</v>
      </c>
      <c r="V77" s="73">
        <f ca="1">U$77*(1+V$247)*(1+SUMPRODUCT(Popn!V$204:V$214,Tracks!$F$88:$F$98)+SUMPRODUCT(Popn!V$215:V$225,Tracks!$G$88:$G$98))*AVERAGE(1,V$251*V$254/(U$251*U$254))</f>
        <v>2.1467030099508064</v>
      </c>
      <c r="W77" s="73">
        <f ca="1">V$77*(1+W$247)*(1+SUMPRODUCT(Popn!W$204:W$214,Tracks!$F$88:$F$98)+SUMPRODUCT(Popn!W$215:W$225,Tracks!$G$88:$G$98))*AVERAGE(1,W$251*W$254/(V$251*V$254))</f>
        <v>2.2089294444517735</v>
      </c>
      <c r="X77" s="73">
        <f ca="1">W$77*(1+X$247)*(1+SUMPRODUCT(Popn!X$204:X$214,Tracks!$F$88:$F$98)+SUMPRODUCT(Popn!X$215:X$225,Tracks!$G$88:$G$98))*AVERAGE(1,X$251*X$254/(W$251*W$254))</f>
        <v>2.2709692527871512</v>
      </c>
    </row>
    <row r="78" spans="1:24" x14ac:dyDescent="0.2">
      <c r="A78" s="31" t="s">
        <v>1020</v>
      </c>
      <c r="B78" s="228"/>
      <c r="C78" s="69"/>
      <c r="D78" s="69">
        <f>Data!C$142</f>
        <v>0</v>
      </c>
      <c r="E78" s="69">
        <f>Data!D$142</f>
        <v>0</v>
      </c>
      <c r="F78" s="69">
        <f>Data!E$142</f>
        <v>0</v>
      </c>
      <c r="G78" s="69">
        <f>Data!F$142</f>
        <v>0</v>
      </c>
      <c r="H78" s="69">
        <f>Data!G$142</f>
        <v>0</v>
      </c>
      <c r="I78" s="69">
        <f>Data!H$142</f>
        <v>0</v>
      </c>
      <c r="J78" s="123">
        <f>Data!I$142</f>
        <v>0</v>
      </c>
      <c r="K78" s="123">
        <f>Data!J$142</f>
        <v>1.3919999999999999</v>
      </c>
      <c r="L78" s="123">
        <f>Data!K$142</f>
        <v>1.4350000000000001</v>
      </c>
      <c r="M78" s="123">
        <f>Data!L$142</f>
        <v>1.4430000000000001</v>
      </c>
      <c r="N78" s="123">
        <f>Data!M$142</f>
        <v>1.456</v>
      </c>
      <c r="O78" s="73">
        <f ca="1">N$78*(1+O$247)*(1+SUMPRODUCT(Popn!O$204:O$214,Tracks!$D$88:$D$98)+SUMPRODUCT(Popn!O$215:O$225,Tracks!$E$88:$E$98))</f>
        <v>1.4965493783090851</v>
      </c>
      <c r="P78" s="73">
        <f ca="1">O$78*(1+P$247)*(1+SUMPRODUCT(Popn!P$204:P$214,Tracks!$D$88:$D$98)+SUMPRODUCT(Popn!P$215:P$225,Tracks!$E$88:$E$98))</f>
        <v>1.5361733235791781</v>
      </c>
      <c r="Q78" s="73">
        <f ca="1">P$78*(1+Q$247)*(1+SUMPRODUCT(Popn!Q$204:Q$214,Tracks!$D$88:$D$98)+SUMPRODUCT(Popn!Q$215:Q$225,Tracks!$E$88:$E$98))</f>
        <v>1.5745531499534851</v>
      </c>
      <c r="R78" s="73">
        <f ca="1">Q$78*(1+R$247)*(1+SUMPRODUCT(Popn!R$204:R$214,Tracks!$D$88:$D$98)+SUMPRODUCT(Popn!R$215:R$225,Tracks!$E$88:$E$98))</f>
        <v>1.6128875658777442</v>
      </c>
      <c r="S78" s="73">
        <f ca="1">R$78*(1+S$247)*(1+SUMPRODUCT(Popn!S$204:S$214,Tracks!$D$88:$D$98)+SUMPRODUCT(Popn!S$215:S$225,Tracks!$E$88:$E$98))</f>
        <v>1.6519994624354664</v>
      </c>
      <c r="T78" s="73">
        <f ca="1">S$78*(1+T$247)*(1+SUMPRODUCT(Popn!T$204:T$214,Tracks!$D$88:$D$98)+SUMPRODUCT(Popn!T$215:T$225,Tracks!$E$88:$E$98))</f>
        <v>1.6910187082140182</v>
      </c>
      <c r="U78" s="73">
        <f ca="1">T$78*(1+U$247)*(1+SUMPRODUCT(Popn!U$204:U$214,Tracks!$D$88:$D$98)+SUMPRODUCT(Popn!U$215:U$225,Tracks!$E$88:$E$98))</f>
        <v>1.7287085183908149</v>
      </c>
      <c r="V78" s="73">
        <f ca="1">U$78*(1+V$247)*(1+SUMPRODUCT(Popn!V$204:V$214,Tracks!$D$88:$D$98)+SUMPRODUCT(Popn!V$215:V$225,Tracks!$E$88:$E$98))</f>
        <v>1.7673781987772197</v>
      </c>
      <c r="W78" s="73">
        <f ca="1">V$78*(1+W$247)*(1+SUMPRODUCT(Popn!W$204:W$214,Tracks!$D$88:$D$98)+SUMPRODUCT(Popn!W$215:W$225,Tracks!$E$88:$E$98))</f>
        <v>1.80563983086186</v>
      </c>
      <c r="X78" s="73">
        <f ca="1">W$78*(1+X$247)*(1+SUMPRODUCT(Popn!X$204:X$214,Tracks!$D$88:$D$98)+SUMPRODUCT(Popn!X$215:X$225,Tracks!$E$88:$E$98))</f>
        <v>1.8428413288605567</v>
      </c>
    </row>
    <row r="79" spans="1:24" x14ac:dyDescent="0.2">
      <c r="A79" s="31" t="s">
        <v>1019</v>
      </c>
      <c r="B79" s="228"/>
      <c r="C79" s="69"/>
      <c r="D79" s="69">
        <f>Data!C$143</f>
        <v>0</v>
      </c>
      <c r="E79" s="69">
        <f>Data!D$143</f>
        <v>0</v>
      </c>
      <c r="F79" s="69">
        <f>Data!E$143</f>
        <v>0</v>
      </c>
      <c r="G79" s="69">
        <f>Data!F$143</f>
        <v>0</v>
      </c>
      <c r="H79" s="69">
        <f>Data!G$143</f>
        <v>0</v>
      </c>
      <c r="I79" s="69">
        <f>Data!H$143</f>
        <v>0</v>
      </c>
      <c r="J79" s="123">
        <f>Data!I$143</f>
        <v>0</v>
      </c>
      <c r="K79" s="123">
        <f>Data!J$143</f>
        <v>1.288</v>
      </c>
      <c r="L79" s="123">
        <f>Data!K$143</f>
        <v>1.341</v>
      </c>
      <c r="M79" s="123">
        <f>Data!L$143</f>
        <v>1.3660000000000001</v>
      </c>
      <c r="N79" s="123">
        <f>Data!M$143</f>
        <v>1.391</v>
      </c>
      <c r="O79" s="73">
        <f ca="1">N$79*(1+O$247)*(1+SUMPRODUCT(Popn!O$204:O$214,Tracks!$B$88:$B$98)+SUMPRODUCT(Popn!O$215:O$225,Tracks!$C$88:$C$98))</f>
        <v>1.4248409312484172</v>
      </c>
      <c r="P79" s="73">
        <f ca="1">O$79*(1+P$247)*(1+SUMPRODUCT(Popn!P$204:P$214,Tracks!$B$88:$B$98)+SUMPRODUCT(Popn!P$215:P$225,Tracks!$C$88:$C$98))</f>
        <v>1.4575587860468786</v>
      </c>
      <c r="Q79" s="73">
        <f ca="1">P$79*(1+Q$247)*(1+SUMPRODUCT(Popn!Q$204:Q$214,Tracks!$B$88:$B$98)+SUMPRODUCT(Popn!Q$215:Q$225,Tracks!$C$88:$C$98))</f>
        <v>1.4923869995899606</v>
      </c>
      <c r="R79" s="73">
        <f ca="1">Q$79*(1+R$247)*(1+SUMPRODUCT(Popn!R$204:R$214,Tracks!$B$88:$B$98)+SUMPRODUCT(Popn!R$215:R$225,Tracks!$C$88:$C$98))</f>
        <v>1.5266260863205336</v>
      </c>
      <c r="S79" s="73">
        <f ca="1">R$79*(1+S$247)*(1+SUMPRODUCT(Popn!S$204:S$214,Tracks!$B$88:$B$98)+SUMPRODUCT(Popn!S$215:S$225,Tracks!$C$88:$C$98))</f>
        <v>1.5608220062578102</v>
      </c>
      <c r="T79" s="73">
        <f ca="1">S$79*(1+T$247)*(1+SUMPRODUCT(Popn!T$204:T$214,Tracks!$B$88:$B$98)+SUMPRODUCT(Popn!T$215:T$225,Tracks!$C$88:$C$98))</f>
        <v>1.5955935064783724</v>
      </c>
      <c r="U79" s="73">
        <f ca="1">T$79*(1+U$247)*(1+SUMPRODUCT(Popn!U$204:U$214,Tracks!$B$88:$B$98)+SUMPRODUCT(Popn!U$215:U$225,Tracks!$C$88:$C$98))</f>
        <v>1.6329709746083736</v>
      </c>
      <c r="V79" s="73">
        <f ca="1">U$79*(1+V$247)*(1+SUMPRODUCT(Popn!V$204:V$214,Tracks!$B$88:$B$98)+SUMPRODUCT(Popn!V$215:V$225,Tracks!$C$88:$C$98))</f>
        <v>1.6711908817146588</v>
      </c>
      <c r="W79" s="73">
        <f ca="1">V$79*(1+W$247)*(1+SUMPRODUCT(Popn!W$204:W$214,Tracks!$B$88:$B$98)+SUMPRODUCT(Popn!W$215:W$225,Tracks!$C$88:$C$98))</f>
        <v>1.7123365750947188</v>
      </c>
      <c r="X79" s="73">
        <f ca="1">W$79*(1+X$247)*(1+SUMPRODUCT(Popn!X$204:X$214,Tracks!$B$88:$B$98)+SUMPRODUCT(Popn!X$215:X$225,Tracks!$C$88:$C$98))</f>
        <v>1.7561423401409757</v>
      </c>
    </row>
    <row r="80" spans="1:24" x14ac:dyDescent="0.2">
      <c r="A80" s="31" t="s">
        <v>890</v>
      </c>
      <c r="B80" s="228"/>
      <c r="C80" s="69"/>
      <c r="D80" s="69">
        <f>Data!C$145</f>
        <v>1.6890000000000001</v>
      </c>
      <c r="E80" s="69">
        <f>Data!D$145</f>
        <v>1.88</v>
      </c>
      <c r="F80" s="69">
        <f>Data!E$145</f>
        <v>2.0529999999999999</v>
      </c>
      <c r="G80" s="69">
        <f>Data!F$145</f>
        <v>2.1589999999999998</v>
      </c>
      <c r="H80" s="69">
        <f>Data!G$145</f>
        <v>2.13</v>
      </c>
      <c r="I80" s="69">
        <f>Data!H$145</f>
        <v>2.0710000000000002</v>
      </c>
      <c r="J80" s="123">
        <f>Data!I$145</f>
        <v>2.0470000000000002</v>
      </c>
      <c r="K80" s="123">
        <f>Data!J$145</f>
        <v>2.0259999999999998</v>
      </c>
      <c r="L80" s="123">
        <f>Data!K$145</f>
        <v>1.9930000000000001</v>
      </c>
      <c r="M80" s="123">
        <f>Data!L$145</f>
        <v>1.95</v>
      </c>
      <c r="N80" s="123">
        <f>Data!M$145</f>
        <v>1.9319999999999999</v>
      </c>
      <c r="O80" s="73">
        <f ca="1">N$80*(1+O$247)*(1+Popn!O$202)</f>
        <v>1.9774798759326282</v>
      </c>
      <c r="P80" s="73">
        <f ca="1">O$80*(1+P$247)*(1+Popn!P$202)</f>
        <v>2.0208594445845538</v>
      </c>
      <c r="Q80" s="73">
        <f ca="1">P$80*(1+Q$247)*(1+Popn!Q$202)</f>
        <v>2.0681493038987298</v>
      </c>
      <c r="R80" s="73">
        <f ca="1">Q$80*(1+R$247)*(1+Popn!R$202)</f>
        <v>2.1213741574064167</v>
      </c>
      <c r="S80" s="73">
        <f ca="1">R$80*(1+S$247)*(1+Popn!S$202)</f>
        <v>2.1757690287956066</v>
      </c>
      <c r="T80" s="73">
        <f ca="1">S$80*(1+T$247)*(1+Popn!T$202)</f>
        <v>2.2287465490741925</v>
      </c>
      <c r="U80" s="73">
        <f ca="1">T$80*(1+U$247)*(1+Popn!U$202)</f>
        <v>2.284186626679781</v>
      </c>
      <c r="V80" s="73">
        <f ca="1">U$80*(1+V$247)*(1+Popn!V$202)</f>
        <v>2.3384367931949539</v>
      </c>
      <c r="W80" s="73">
        <f ca="1">V$80*(1+W$247)*(1+Popn!W$202)</f>
        <v>2.3888717231824375</v>
      </c>
      <c r="X80" s="73">
        <f ca="1">W$80*(1+X$247)*(1+Popn!X$202)</f>
        <v>2.4361297801452451</v>
      </c>
    </row>
    <row r="81" spans="1:24" x14ac:dyDescent="0.2">
      <c r="A81" s="31" t="s">
        <v>1068</v>
      </c>
      <c r="B81" s="228"/>
      <c r="C81" s="69"/>
      <c r="D81" s="69">
        <f>Data!C$146</f>
        <v>0.53600000000000003</v>
      </c>
      <c r="E81" s="69">
        <f>Data!D$146</f>
        <v>0.61399999999999999</v>
      </c>
      <c r="F81" s="69">
        <f>Data!E$146</f>
        <v>0.62</v>
      </c>
      <c r="G81" s="69">
        <f>Data!F$146</f>
        <v>0.628</v>
      </c>
      <c r="H81" s="69">
        <f>Data!G$146</f>
        <v>0.61599999999999999</v>
      </c>
      <c r="I81" s="69">
        <f>Data!H$146</f>
        <v>0.59899999999999998</v>
      </c>
      <c r="J81" s="123">
        <f>Data!I$146</f>
        <v>0.57199999999999995</v>
      </c>
      <c r="K81" s="123">
        <f>Data!J$146</f>
        <v>0.53900000000000003</v>
      </c>
      <c r="L81" s="123">
        <f>Data!K$146</f>
        <v>0.52100000000000002</v>
      </c>
      <c r="M81" s="123">
        <f>Data!L$146</f>
        <v>0.51100000000000001</v>
      </c>
      <c r="N81" s="123">
        <f>Data!M$146</f>
        <v>0.51</v>
      </c>
      <c r="O81" s="73">
        <f>N$81</f>
        <v>0.51</v>
      </c>
      <c r="P81" s="73">
        <f t="shared" ref="P81:X81" si="43">O$81</f>
        <v>0.51</v>
      </c>
      <c r="Q81" s="73">
        <f t="shared" si="43"/>
        <v>0.51</v>
      </c>
      <c r="R81" s="73">
        <f t="shared" si="43"/>
        <v>0.51</v>
      </c>
      <c r="S81" s="73">
        <f t="shared" si="43"/>
        <v>0.51</v>
      </c>
      <c r="T81" s="73">
        <f t="shared" si="43"/>
        <v>0.51</v>
      </c>
      <c r="U81" s="73">
        <f t="shared" si="43"/>
        <v>0.51</v>
      </c>
      <c r="V81" s="73">
        <f t="shared" si="43"/>
        <v>0.51</v>
      </c>
      <c r="W81" s="73">
        <f t="shared" si="43"/>
        <v>0.51</v>
      </c>
      <c r="X81" s="73">
        <f t="shared" si="43"/>
        <v>0.51</v>
      </c>
    </row>
    <row r="82" spans="1:24" x14ac:dyDescent="0.2">
      <c r="A82" s="31" t="s">
        <v>1037</v>
      </c>
      <c r="B82" s="228"/>
      <c r="C82" s="69"/>
      <c r="D82" s="69">
        <f>Data!C$147</f>
        <v>0.877</v>
      </c>
      <c r="E82" s="69">
        <f>Data!D$147</f>
        <v>0.89100000000000001</v>
      </c>
      <c r="F82" s="69">
        <f>Data!E$147</f>
        <v>0.98899999999999999</v>
      </c>
      <c r="G82" s="69">
        <f>Data!F$147</f>
        <v>1.1539999999999999</v>
      </c>
      <c r="H82" s="69">
        <f>Data!G$147</f>
        <v>1.1970000000000001</v>
      </c>
      <c r="I82" s="69">
        <f>Data!H$147</f>
        <v>1.1950000000000001</v>
      </c>
      <c r="J82" s="123">
        <f>Data!I$147</f>
        <v>1.1779999999999999</v>
      </c>
      <c r="K82" s="123">
        <f>Data!J$147</f>
        <v>1.1910000000000001</v>
      </c>
      <c r="L82" s="123">
        <f>Data!K$147</f>
        <v>1.2110000000000001</v>
      </c>
      <c r="M82" s="123">
        <f>Data!L$147</f>
        <v>1.228</v>
      </c>
      <c r="N82" s="123">
        <f>Data!M$147</f>
        <v>1.244</v>
      </c>
      <c r="O82" s="73">
        <f ca="1">N$82*(1+O$247)*(1+Popn!O$203)</f>
        <v>1.2820569490618174</v>
      </c>
      <c r="P82" s="73">
        <f ca="1">O$82*(1+P$247)*(1+Popn!P$203)</f>
        <v>1.3210844416573784</v>
      </c>
      <c r="Q82" s="73">
        <f ca="1">P$82*(1+Q$247)*(1+Popn!Q$203)</f>
        <v>1.3608484418205149</v>
      </c>
      <c r="R82" s="73">
        <f ca="1">Q$82*(1+R$247)*(1+Popn!R$203)</f>
        <v>1.4019672771253788</v>
      </c>
      <c r="S82" s="73">
        <f ca="1">R$82*(1+S$247)*(1+Popn!S$203)</f>
        <v>1.4449605789215301</v>
      </c>
      <c r="T82" s="73">
        <f ca="1">S$82*(1+T$247)*(1+Popn!T$203)</f>
        <v>1.4897106155324153</v>
      </c>
      <c r="U82" s="73">
        <f ca="1">T$82*(1+U$247)*(1+Popn!U$203)</f>
        <v>1.5350820983144746</v>
      </c>
      <c r="V82" s="73">
        <f ca="1">U$82*(1+V$247)*(1+Popn!V$203)</f>
        <v>1.5816412635650876</v>
      </c>
      <c r="W82" s="73">
        <f ca="1">V$82*(1+W$247)*(1+Popn!W$203)</f>
        <v>1.6287385771084759</v>
      </c>
      <c r="X82" s="73">
        <f ca="1">W$82*(1+X$247)*(1+Popn!X$203)</f>
        <v>1.6761918142092633</v>
      </c>
    </row>
    <row r="83" spans="1:24" x14ac:dyDescent="0.2">
      <c r="A83" s="31" t="s">
        <v>972</v>
      </c>
      <c r="B83" s="228"/>
      <c r="C83" s="69"/>
      <c r="D83" s="69">
        <f>Data!C$148</f>
        <v>0.434</v>
      </c>
      <c r="E83" s="69">
        <f>Data!D$148</f>
        <v>0.46500000000000002</v>
      </c>
      <c r="F83" s="69">
        <f>Data!E$148</f>
        <v>0.504</v>
      </c>
      <c r="G83" s="69">
        <f>Data!F$148</f>
        <v>0.52200000000000002</v>
      </c>
      <c r="H83" s="69">
        <f>Data!G$148</f>
        <v>0.55300000000000005</v>
      </c>
      <c r="I83" s="69">
        <f>Data!H$148</f>
        <v>0.57999999999999996</v>
      </c>
      <c r="J83" s="123">
        <f>Data!I$148</f>
        <v>0.63700000000000001</v>
      </c>
      <c r="K83" s="123">
        <f>Data!J$148</f>
        <v>0.66200000000000003</v>
      </c>
      <c r="L83" s="123">
        <f>Data!K$148</f>
        <v>0.68300000000000005</v>
      </c>
      <c r="M83" s="123">
        <f>Data!L$148</f>
        <v>0.71899999999999997</v>
      </c>
      <c r="N83" s="123">
        <f>Data!M$148</f>
        <v>0.76200000000000001</v>
      </c>
      <c r="O83" s="73">
        <f ca="1">N$83*(1+O$247)*(1+Popn!O$203)</f>
        <v>0.78531141092050238</v>
      </c>
      <c r="P83" s="73">
        <f ca="1">O$83*(1+P$247)*(1+Popn!P$203)</f>
        <v>0.80921731876440706</v>
      </c>
      <c r="Q83" s="73">
        <f ca="1">P$83*(1+Q$247)*(1+Popn!Q$203)</f>
        <v>0.83357436709584598</v>
      </c>
      <c r="R83" s="73">
        <f ca="1">Q$83*(1+R$247)*(1+Popn!R$203)</f>
        <v>0.8587613064063816</v>
      </c>
      <c r="S83" s="73">
        <f ca="1">R$83*(1+S$247)*(1+Popn!S$203)</f>
        <v>0.88509643178312369</v>
      </c>
      <c r="T83" s="73">
        <f ca="1">S$83*(1+T$247)*(1+Popn!T$203)</f>
        <v>0.91250762784220296</v>
      </c>
      <c r="U83" s="73">
        <f ca="1">T$83*(1+U$247)*(1+Popn!U$203)</f>
        <v>0.94029948465886626</v>
      </c>
      <c r="V83" s="73">
        <f ca="1">U$83*(1+V$247)*(1+Popn!V$203)</f>
        <v>0.96881884472395241</v>
      </c>
      <c r="W83" s="73">
        <f ca="1">V$83*(1+W$247)*(1+Popn!W$203)</f>
        <v>0.99766784224811789</v>
      </c>
      <c r="X83" s="73">
        <f ca="1">W$83*(1+X$247)*(1+Popn!X$203)</f>
        <v>1.0267348572567996</v>
      </c>
    </row>
    <row r="84" spans="1:24" x14ac:dyDescent="0.2">
      <c r="A84" s="31" t="s">
        <v>1038</v>
      </c>
      <c r="B84" s="228"/>
      <c r="C84" s="69"/>
      <c r="D84" s="69">
        <f>Data!C$149</f>
        <v>0.34800000000000003</v>
      </c>
      <c r="E84" s="69">
        <f>Data!D$149</f>
        <v>0.36699999999999999</v>
      </c>
      <c r="F84" s="69">
        <f>Data!E$149</f>
        <v>0.39</v>
      </c>
      <c r="G84" s="69">
        <f>Data!F$149</f>
        <v>0.41099999999999998</v>
      </c>
      <c r="H84" s="69">
        <f>Data!G$149</f>
        <v>0.40899999999999997</v>
      </c>
      <c r="I84" s="69">
        <f>Data!H$149</f>
        <v>0.40100000000000002</v>
      </c>
      <c r="J84" s="123">
        <f>Data!I$149</f>
        <v>0.38500000000000001</v>
      </c>
      <c r="K84" s="123">
        <f>Data!J$149</f>
        <v>0.38</v>
      </c>
      <c r="L84" s="123">
        <f>Data!K$149</f>
        <v>0.377</v>
      </c>
      <c r="M84" s="123">
        <f>Data!L$149</f>
        <v>0.376</v>
      </c>
      <c r="N84" s="123">
        <f>Data!M$149</f>
        <v>0.376</v>
      </c>
      <c r="O84" s="73">
        <f ca="1">N$84*(1+O$247)*(1+Popn!O$203)</f>
        <v>0.38750274344633712</v>
      </c>
      <c r="P84" s="73">
        <f ca="1">O$84*(1+P$247)*(1+Popn!P$203)</f>
        <v>0.3992988344559279</v>
      </c>
      <c r="Q84" s="73">
        <f ca="1">P$84*(1+Q$247)*(1+Popn!Q$203)</f>
        <v>0.41131753546986621</v>
      </c>
      <c r="R84" s="73">
        <f ca="1">Q$84*(1+R$247)*(1+Popn!R$203)</f>
        <v>0.42374573649448743</v>
      </c>
      <c r="S84" s="73">
        <f ca="1">R$84*(1+S$247)*(1+Popn!S$203)</f>
        <v>0.43674049652290614</v>
      </c>
      <c r="T84" s="73">
        <f ca="1">S$84*(1+T$247)*(1+Popn!T$203)</f>
        <v>0.45026623106124447</v>
      </c>
      <c r="U84" s="73">
        <f ca="1">T$84*(1+U$247)*(1+Popn!U$203)</f>
        <v>0.4639797982043749</v>
      </c>
      <c r="V84" s="73">
        <f ca="1">U$84*(1+V$247)*(1+Popn!V$203)</f>
        <v>0.47805234332835439</v>
      </c>
      <c r="W84" s="73">
        <f ca="1">V$84*(1+W$247)*(1+Popn!W$203)</f>
        <v>0.49228754420642029</v>
      </c>
      <c r="X84" s="73">
        <f ca="1">W$84*(1+X$247)*(1+Popn!X$203)</f>
        <v>0.50663032326582225</v>
      </c>
    </row>
    <row r="85" spans="1:24" x14ac:dyDescent="0.2">
      <c r="A85" s="157" t="s">
        <v>244</v>
      </c>
      <c r="B85" s="228"/>
      <c r="C85" s="69"/>
      <c r="D85" s="69">
        <f>Data!C$151</f>
        <v>1.1539999999999999</v>
      </c>
      <c r="E85" s="69">
        <f>Data!D$151</f>
        <v>1.2250000000000001</v>
      </c>
      <c r="F85" s="69">
        <f>Data!E$151</f>
        <v>1.49</v>
      </c>
      <c r="G85" s="69">
        <f>Data!F$151</f>
        <v>1.3840000000000001</v>
      </c>
      <c r="H85" s="69">
        <f>Data!G$151</f>
        <v>1.5309999999999999</v>
      </c>
      <c r="I85" s="69">
        <f>Data!H$151</f>
        <v>1.288</v>
      </c>
      <c r="J85" s="123">
        <f>Data!I$151</f>
        <v>1.377</v>
      </c>
      <c r="K85" s="123">
        <f>Data!J$151</f>
        <v>1.3280000000000001</v>
      </c>
      <c r="L85" s="123">
        <f>Data!K$151</f>
        <v>1.304</v>
      </c>
      <c r="M85" s="123">
        <f>Data!L$151</f>
        <v>1.31</v>
      </c>
      <c r="N85" s="123">
        <f>Data!M$151</f>
        <v>1.323</v>
      </c>
      <c r="O85" s="73">
        <f ca="1">N$85*(1+O$247)*(1+Popn!O$203)</f>
        <v>1.3634737488816595</v>
      </c>
      <c r="P85" s="73">
        <f ca="1">O$85*(1+P$247)*(1+Popn!P$203)</f>
        <v>1.4049796754925334</v>
      </c>
      <c r="Q85" s="73">
        <f ca="1">P$85*(1+Q$247)*(1+Popn!Q$203)</f>
        <v>1.4472688814538113</v>
      </c>
      <c r="R85" s="73">
        <f ca="1">Q$85*(1+R$247)*(1+Popn!R$203)</f>
        <v>1.4909989611228909</v>
      </c>
      <c r="S85" s="73">
        <f ca="1">R$85*(1+S$247)*(1+Popn!S$203)</f>
        <v>1.5367225449462898</v>
      </c>
      <c r="T85" s="73">
        <f ca="1">S$85*(1+T$247)*(1+Popn!T$203)</f>
        <v>1.5843144247181558</v>
      </c>
      <c r="U85" s="73">
        <f ca="1">T$85*(1+U$247)*(1+Popn!U$203)</f>
        <v>1.6325672154903941</v>
      </c>
      <c r="V85" s="73">
        <f ca="1">U$85*(1+V$247)*(1+Popn!V$203)</f>
        <v>1.6820831122963114</v>
      </c>
      <c r="W85" s="73">
        <f ca="1">V$85*(1+W$247)*(1+Popn!W$203)</f>
        <v>1.7321713324071657</v>
      </c>
      <c r="X85" s="73">
        <f ca="1">W$85*(1+X$247)*(1+Popn!X$203)</f>
        <v>1.7826380789379868</v>
      </c>
    </row>
    <row r="86" spans="1:24" x14ac:dyDescent="0.2">
      <c r="A86" s="157" t="s">
        <v>893</v>
      </c>
      <c r="B86" s="36"/>
      <c r="C86" s="69"/>
      <c r="D86" s="173">
        <f>D$87-SUM(D$75:D$85)</f>
        <v>1.1340000000000003</v>
      </c>
      <c r="E86" s="173">
        <f t="shared" ref="E86:N86" si="44">E$87-SUM(E$75:E$85)</f>
        <v>1.352999999999998</v>
      </c>
      <c r="F86" s="173">
        <f t="shared" si="44"/>
        <v>1.6030000000000015</v>
      </c>
      <c r="G86" s="173">
        <f t="shared" si="44"/>
        <v>2.0010000000000012</v>
      </c>
      <c r="H86" s="173">
        <f t="shared" si="44"/>
        <v>1.990000000000002</v>
      </c>
      <c r="I86" s="173">
        <f t="shared" si="44"/>
        <v>1.5159999999999982</v>
      </c>
      <c r="J86" s="127">
        <f t="shared" ca="1" si="44"/>
        <v>1.8069999999999986</v>
      </c>
      <c r="K86" s="127">
        <f t="shared" ca="1" si="44"/>
        <v>1.9410000000000025</v>
      </c>
      <c r="L86" s="127">
        <f t="shared" ca="1" si="44"/>
        <v>1.8830000000000062</v>
      </c>
      <c r="M86" s="127">
        <f t="shared" ca="1" si="44"/>
        <v>1.6709999999999958</v>
      </c>
      <c r="N86" s="127">
        <f t="shared" ca="1" si="44"/>
        <v>1.6899999999999977</v>
      </c>
      <c r="O86" s="269">
        <f ca="1">N$86 +IF(OFFSET(Scenarios!$A$72,0,$C$1)="Yes",(O$148-N$148)*OFFSET(Scenarios!$A$75,0,$C$1),0)-0.253</f>
        <v>1.4369999999999976</v>
      </c>
      <c r="P86" s="269">
        <f ca="1">O$86 +IF(OFFSET(Scenarios!$A$72,0,$C$1)="Yes",(P$148-O$148)*OFFSET(Scenarios!$A$75,0,$C$1),0)</f>
        <v>1.4369999999999976</v>
      </c>
      <c r="Q86" s="269">
        <f ca="1">P$86 +IF(OFFSET(Scenarios!$A$72,0,$C$1)="Yes",(Q$148-P$148)*OFFSET(Scenarios!$A$75,0,$C$1),0)</f>
        <v>1.4369999999999976</v>
      </c>
      <c r="R86" s="269">
        <f ca="1">Q$86 +IF(OFFSET(Scenarios!$A$72,0,$C$1)="Yes",(R$148-Q$148)*OFFSET(Scenarios!$A$75,0,$C$1),0)</f>
        <v>1.4369999999999976</v>
      </c>
      <c r="S86" s="269">
        <f ca="1">R$86 +IF(OFFSET(Scenarios!$A$72,0,$C$1)="Yes",(S$148-R$148)*OFFSET(Scenarios!$A$75,0,$C$1),0)</f>
        <v>1.4369999999999976</v>
      </c>
      <c r="T86" s="269">
        <f ca="1">S$86 +IF(OFFSET(Scenarios!$A$72,0,$C$1)="Yes",(T$148-S$148)*OFFSET(Scenarios!$A$75,0,$C$1),0)</f>
        <v>1.4369999999999976</v>
      </c>
      <c r="U86" s="269">
        <f ca="1">T$86 +IF(OFFSET(Scenarios!$A$72,0,$C$1)="Yes",(U$148-T$148)*OFFSET(Scenarios!$A$75,0,$C$1),0)</f>
        <v>1.4369999999999976</v>
      </c>
      <c r="V86" s="269">
        <f ca="1">U$86 +IF(OFFSET(Scenarios!$A$72,0,$C$1)="Yes",(V$148-U$148)*OFFSET(Scenarios!$A$75,0,$C$1),0)</f>
        <v>1.4369999999999976</v>
      </c>
      <c r="W86" s="269">
        <f ca="1">V$86 +IF(OFFSET(Scenarios!$A$72,0,$C$1)="Yes",(W$148-V$148)*OFFSET(Scenarios!$A$75,0,$C$1),0)</f>
        <v>1.4369999999999976</v>
      </c>
      <c r="X86" s="269">
        <f ca="1">W$86 +IF(OFFSET(Scenarios!$A$72,0,$C$1)="Yes",(X$148-W$148)*OFFSET(Scenarios!$A$75,0,$C$1),0)</f>
        <v>1.4369999999999976</v>
      </c>
    </row>
    <row r="87" spans="1:24" x14ac:dyDescent="0.2">
      <c r="A87" s="27" t="s">
        <v>408</v>
      </c>
      <c r="B87" s="228"/>
      <c r="C87" s="69"/>
      <c r="D87" s="71">
        <f>Data!C$39</f>
        <v>16.768000000000001</v>
      </c>
      <c r="E87" s="71">
        <f>Data!D$39</f>
        <v>17.876999999999999</v>
      </c>
      <c r="F87" s="71">
        <f>Data!E$39</f>
        <v>19.382000000000001</v>
      </c>
      <c r="G87" s="71">
        <f>Data!F$39</f>
        <v>21.184999999999999</v>
      </c>
      <c r="H87" s="71">
        <f>Data!G$39</f>
        <v>22.004999999999999</v>
      </c>
      <c r="I87" s="71">
        <f>Data!H$39</f>
        <v>22.027999999999999</v>
      </c>
      <c r="J87" s="128">
        <f ca="1">Data!I$39 + IF(OFFSET(Scenarios!$A$72,0,$C$1)="Yes",OFFSET(Scenarios!$A$75,0,$C$1)*J$148,0)</f>
        <v>22.893000000000001</v>
      </c>
      <c r="K87" s="128">
        <f ca="1">Data!J$39 + IF(OFFSET(Scenarios!$A$72,0,$C$1)="Yes",OFFSET(Scenarios!$A$75,0,$C$1)*K$148,0)</f>
        <v>23.594999999999999</v>
      </c>
      <c r="L87" s="128">
        <f ca="1">Data!K$39 + IF(OFFSET(Scenarios!$A$72,0,$C$1)="Yes",OFFSET(Scenarios!$A$75,0,$C$1)*L$148,0)</f>
        <v>24.11</v>
      </c>
      <c r="M87" s="128">
        <f ca="1">Data!L$39 + IF(OFFSET(Scenarios!$A$72,0,$C$1)="Yes",OFFSET(Scenarios!$A$75,0,$C$1)*M$148,0)</f>
        <v>24.533999999999999</v>
      </c>
      <c r="N87" s="128">
        <f ca="1">Data!M$39 + IF(OFFSET(Scenarios!$A$72,0,$C$1)="Yes",OFFSET(Scenarios!$A$75,0,$C$1)*N$148,0)</f>
        <v>25.245999999999999</v>
      </c>
      <c r="O87" s="75">
        <f t="shared" ref="O87:X87" ca="1" si="45">SUM(O$75:O$86)</f>
        <v>25.990836261576053</v>
      </c>
      <c r="P87" s="75">
        <f t="shared" ca="1" si="45"/>
        <v>26.990204334895051</v>
      </c>
      <c r="Q87" s="75">
        <f t="shared" ca="1" si="45"/>
        <v>28.06824205258485</v>
      </c>
      <c r="R87" s="75">
        <f t="shared" ca="1" si="45"/>
        <v>29.342646765049338</v>
      </c>
      <c r="S87" s="75">
        <f t="shared" ca="1" si="45"/>
        <v>30.739442498942701</v>
      </c>
      <c r="T87" s="75">
        <f t="shared" ca="1" si="45"/>
        <v>32.217112694721102</v>
      </c>
      <c r="U87" s="75">
        <f t="shared" ca="1" si="45"/>
        <v>33.813249999529184</v>
      </c>
      <c r="V87" s="75">
        <f t="shared" ca="1" si="45"/>
        <v>35.487399587107689</v>
      </c>
      <c r="W87" s="75">
        <f t="shared" ca="1" si="45"/>
        <v>37.272880261003259</v>
      </c>
      <c r="X87" s="75">
        <f t="shared" ca="1" si="45"/>
        <v>39.141379783871805</v>
      </c>
    </row>
    <row r="88" spans="1:24" x14ac:dyDescent="0.2">
      <c r="A88" s="157" t="s">
        <v>582</v>
      </c>
      <c r="B88" s="97"/>
      <c r="C88" s="69"/>
      <c r="D88" s="69">
        <f t="shared" ref="D88:N88" si="46">D$89-D$87</f>
        <v>3.0609999999999999</v>
      </c>
      <c r="E88" s="69">
        <f t="shared" si="46"/>
        <v>3.6320000000000014</v>
      </c>
      <c r="F88" s="69">
        <f t="shared" si="46"/>
        <v>3.8909999999999982</v>
      </c>
      <c r="G88" s="69">
        <f t="shared" si="46"/>
        <v>3.0210000000000008</v>
      </c>
      <c r="H88" s="69">
        <f t="shared" si="46"/>
        <v>3.3190000000000026</v>
      </c>
      <c r="I88" s="69">
        <f t="shared" si="46"/>
        <v>3.429000000000002</v>
      </c>
      <c r="J88" s="103">
        <f t="shared" ca="1" si="46"/>
        <v>3.5459999999999994</v>
      </c>
      <c r="K88" s="103">
        <f t="shared" ca="1" si="46"/>
        <v>3.9150000000000027</v>
      </c>
      <c r="L88" s="103">
        <f t="shared" ca="1" si="46"/>
        <v>4.1829999999999998</v>
      </c>
      <c r="M88" s="103">
        <f t="shared" ca="1" si="46"/>
        <v>4.7469999999999999</v>
      </c>
      <c r="N88" s="103">
        <f t="shared" ca="1" si="46"/>
        <v>4.5549999999999997</v>
      </c>
      <c r="O88" s="73">
        <f t="shared" ref="O88:X88" ca="1" si="47">N$88*(1+O$247)*(1+O$259)*(O$96/N$96)</f>
        <v>4.7403653367246017</v>
      </c>
      <c r="P88" s="73">
        <f t="shared" ca="1" si="47"/>
        <v>4.940404971074158</v>
      </c>
      <c r="Q88" s="73">
        <f t="shared" ca="1" si="47"/>
        <v>5.1609955126841731</v>
      </c>
      <c r="R88" s="73">
        <f t="shared" ca="1" si="47"/>
        <v>5.3904581843286064</v>
      </c>
      <c r="S88" s="73">
        <f t="shared" ca="1" si="47"/>
        <v>5.6280415976144669</v>
      </c>
      <c r="T88" s="73">
        <f t="shared" ca="1" si="47"/>
        <v>5.875333424149475</v>
      </c>
      <c r="U88" s="73">
        <f t="shared" ca="1" si="47"/>
        <v>6.128918169109749</v>
      </c>
      <c r="V88" s="73">
        <f t="shared" ca="1" si="47"/>
        <v>6.3908103748088418</v>
      </c>
      <c r="W88" s="73">
        <f t="shared" ca="1" si="47"/>
        <v>6.660029151518545</v>
      </c>
      <c r="X88" s="73">
        <f t="shared" ca="1" si="47"/>
        <v>6.9383131648730147</v>
      </c>
    </row>
    <row r="89" spans="1:24" x14ac:dyDescent="0.2">
      <c r="A89" s="27" t="s">
        <v>389</v>
      </c>
      <c r="B89" s="228"/>
      <c r="C89" s="69"/>
      <c r="D89" s="71">
        <f>Data!C$20</f>
        <v>19.829000000000001</v>
      </c>
      <c r="E89" s="71">
        <f>Data!D$20</f>
        <v>21.509</v>
      </c>
      <c r="F89" s="71">
        <f>Data!E$20</f>
        <v>23.273</v>
      </c>
      <c r="G89" s="71">
        <f>Data!F$20</f>
        <v>24.206</v>
      </c>
      <c r="H89" s="71">
        <f>Data!G$20</f>
        <v>25.324000000000002</v>
      </c>
      <c r="I89" s="71">
        <f>Data!H$20</f>
        <v>25.457000000000001</v>
      </c>
      <c r="J89" s="128">
        <f ca="1">Data!I$20 + IF(OFFSET(Scenarios!$A$72,0,$C$1)="Yes",OFFSET(Scenarios!$A$75,0,$C$1)*J$148,0)</f>
        <v>26.439</v>
      </c>
      <c r="K89" s="128">
        <f ca="1">Data!J$20 + IF(OFFSET(Scenarios!$A$72,0,$C$1)="Yes",OFFSET(Scenarios!$A$75,0,$C$1)*K$148,0)</f>
        <v>27.51</v>
      </c>
      <c r="L89" s="128">
        <f ca="1">Data!K$20 + IF(OFFSET(Scenarios!$A$72,0,$C$1)="Yes",OFFSET(Scenarios!$A$75,0,$C$1)*L$148,0)</f>
        <v>28.292999999999999</v>
      </c>
      <c r="M89" s="128">
        <f ca="1">Data!L$20 + IF(OFFSET(Scenarios!$A$72,0,$C$1)="Yes",OFFSET(Scenarios!$A$75,0,$C$1)*M$148,0)</f>
        <v>29.280999999999999</v>
      </c>
      <c r="N89" s="128">
        <f ca="1">Data!M$20 + IF(OFFSET(Scenarios!$A$72,0,$C$1)="Yes",OFFSET(Scenarios!$A$75,0,$C$1)*N$148,0)</f>
        <v>29.800999999999998</v>
      </c>
      <c r="O89" s="75">
        <f t="shared" ref="O89:X89" ca="1" si="48">SUM(O$87,O$88)</f>
        <v>30.731201598300654</v>
      </c>
      <c r="P89" s="75">
        <f t="shared" ca="1" si="48"/>
        <v>31.93060930596921</v>
      </c>
      <c r="Q89" s="75">
        <f t="shared" ca="1" si="48"/>
        <v>33.229237565269024</v>
      </c>
      <c r="R89" s="75">
        <f t="shared" ca="1" si="48"/>
        <v>34.733104949377946</v>
      </c>
      <c r="S89" s="75">
        <f t="shared" ca="1" si="48"/>
        <v>36.36748409655717</v>
      </c>
      <c r="T89" s="75">
        <f t="shared" ca="1" si="48"/>
        <v>38.092446118870576</v>
      </c>
      <c r="U89" s="75">
        <f t="shared" ca="1" si="48"/>
        <v>39.942168168638929</v>
      </c>
      <c r="V89" s="75">
        <f t="shared" ca="1" si="48"/>
        <v>41.878209961916532</v>
      </c>
      <c r="W89" s="75">
        <f t="shared" ca="1" si="48"/>
        <v>43.932909412521802</v>
      </c>
      <c r="X89" s="75">
        <f t="shared" ca="1" si="48"/>
        <v>46.079692948744821</v>
      </c>
    </row>
    <row r="90" spans="1:24" x14ac:dyDescent="0.2">
      <c r="A90" s="106" t="s">
        <v>585</v>
      </c>
      <c r="C90" s="69"/>
      <c r="D90" s="69"/>
      <c r="E90" s="69"/>
      <c r="F90" s="73"/>
      <c r="G90" s="73"/>
      <c r="H90" s="73"/>
      <c r="I90" s="73"/>
      <c r="J90" s="73"/>
    </row>
    <row r="91" spans="1:24" x14ac:dyDescent="0.2">
      <c r="A91" s="220" t="s">
        <v>686</v>
      </c>
      <c r="B91" s="228"/>
      <c r="C91" s="69"/>
      <c r="D91" s="175">
        <f>Data!C$236</f>
        <v>832.3</v>
      </c>
      <c r="E91" s="175">
        <f>Data!D$236</f>
        <v>861.27</v>
      </c>
      <c r="F91" s="175">
        <f>Data!E$236</f>
        <v>905.51</v>
      </c>
      <c r="G91" s="175">
        <f>Data!F$236</f>
        <v>934.78</v>
      </c>
      <c r="H91" s="175">
        <f>Data!G$236</f>
        <v>967.96</v>
      </c>
      <c r="I91" s="175">
        <f>Data!H$236</f>
        <v>994.19</v>
      </c>
      <c r="J91" s="284">
        <f>Data!I$236</f>
        <v>1022.88</v>
      </c>
      <c r="K91" s="284">
        <f>Data!J$236</f>
        <v>1050.69</v>
      </c>
      <c r="L91" s="284">
        <f>Data!K$236</f>
        <v>1068.75</v>
      </c>
      <c r="M91" s="284">
        <f>Data!L$236</f>
        <v>1094.93</v>
      </c>
      <c r="N91" s="284">
        <f>Data!M$236</f>
        <v>1130.23</v>
      </c>
      <c r="O91" s="170">
        <f t="shared" ref="O91:X91" ca="1" si="49">N$91*(1+O$259)*(1+O$247)</f>
        <v>1165.65609101172</v>
      </c>
      <c r="P91" s="170">
        <f t="shared" ca="1" si="49"/>
        <v>1203.9649138591221</v>
      </c>
      <c r="Q91" s="170">
        <f t="shared" ca="1" si="49"/>
        <v>1246.4648753183492</v>
      </c>
      <c r="R91" s="170">
        <f t="shared" ca="1" si="49"/>
        <v>1290.4650854170868</v>
      </c>
      <c r="S91" s="170">
        <f t="shared" ca="1" si="49"/>
        <v>1336.01850293231</v>
      </c>
      <c r="T91" s="170">
        <f t="shared" ca="1" si="49"/>
        <v>1383.1799560858203</v>
      </c>
      <c r="U91" s="170">
        <f t="shared" ca="1" si="49"/>
        <v>1432.0062085356496</v>
      </c>
      <c r="V91" s="170">
        <f t="shared" ca="1" si="49"/>
        <v>1482.5560276969582</v>
      </c>
      <c r="W91" s="170">
        <f t="shared" ca="1" si="49"/>
        <v>1534.8902554746608</v>
      </c>
      <c r="X91" s="170">
        <f t="shared" ca="1" si="49"/>
        <v>1589.0718814929162</v>
      </c>
    </row>
    <row r="92" spans="1:24" x14ac:dyDescent="0.2">
      <c r="A92" s="220" t="s">
        <v>688</v>
      </c>
      <c r="B92" s="228"/>
      <c r="C92" s="69"/>
      <c r="D92" s="175">
        <f>Data!C$222</f>
        <v>645.82000000000005</v>
      </c>
      <c r="E92" s="175">
        <f>Data!D$222</f>
        <v>664.02</v>
      </c>
      <c r="F92" s="175">
        <f>Data!E$222</f>
        <v>723.19</v>
      </c>
      <c r="G92" s="175">
        <f>Data!F$222</f>
        <v>741.53</v>
      </c>
      <c r="H92" s="175">
        <f>Data!G$222</f>
        <v>792.36</v>
      </c>
      <c r="I92" s="175">
        <f>Data!H$222</f>
        <v>813.32</v>
      </c>
      <c r="J92" s="284">
        <f>Data!I$222</f>
        <v>833.14</v>
      </c>
      <c r="K92" s="284">
        <f>Data!J$222</f>
        <v>852.07</v>
      </c>
      <c r="L92" s="284">
        <f>Data!K$222</f>
        <v>864.42</v>
      </c>
      <c r="M92" s="284">
        <f>Data!L$222</f>
        <v>882.36</v>
      </c>
      <c r="N92" s="284">
        <f>Data!M$222</f>
        <v>906.25</v>
      </c>
      <c r="O92" s="170">
        <f ca="1">IF(AND(OFFSET(Scenarios!$A$23,0,$C$1)="YES",OFFSET(Scenarios!$A$25,0,$C$1)&gt;=O$4),(52*O$91-IF(52*O$91&gt;OFFSET(Scenarios!$A$89,0,$C$1),(52*O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O$91&gt;OFFSET(Scenarios!$A$88,0,$C$1),(52*O$91-OFFSET(Scenarios!$A$88,0,$C$1))*OFFSET(Scenarios!$A$92,0,$C$1)+(OFFSET(Scenarios!$A$88,0,$C$1)-OFFSET(Scenarios!$A$87,0,$C$1))*OFFSET(Scenarios!$A$91,0,$C$1)+OFFSET(Scenarios!$A$87,0,$C$1)*OFFSET(Scenarios!$A$90,0,$C$1),IF(52*O$91&gt;OFFSET(Scenarios!$A$87,0,$C$1),(52*O$91-OFFSET(Scenarios!$A$87,0,$C$1))*OFFSET(Scenarios!$A$91,0,$C$1)+OFFSET(Scenarios!$A$87,0,$C$1)*OFFSET(Scenarios!$A$90,0,$C$1),52*O$91*OFFSET(Scenarios!$A$90,0,$C$1))))-52*O$91*OFFSET(Scenarios!$A$94,0,$C$1))/52,N$92*O$91/N$91)</f>
        <v>930.37387939177404</v>
      </c>
      <c r="P92" s="170">
        <f ca="1">IF(AND(OFFSET(Scenarios!$A$23,0,$C$1)="YES",OFFSET(Scenarios!$A$25,0,$C$1)&gt;=P$4),(52*P$91-IF(52*P$91&gt;OFFSET(Scenarios!$A$89,0,$C$1),(52*P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P$91&gt;OFFSET(Scenarios!$A$88,0,$C$1),(52*P$91-OFFSET(Scenarios!$A$88,0,$C$1))*OFFSET(Scenarios!$A$92,0,$C$1)+(OFFSET(Scenarios!$A$88,0,$C$1)-OFFSET(Scenarios!$A$87,0,$C$1))*OFFSET(Scenarios!$A$91,0,$C$1)+OFFSET(Scenarios!$A$87,0,$C$1)*OFFSET(Scenarios!$A$90,0,$C$1),IF(52*P$91&gt;OFFSET(Scenarios!$A$87,0,$C$1),(52*P$91-OFFSET(Scenarios!$A$87,0,$C$1))*OFFSET(Scenarios!$A$91,0,$C$1)+OFFSET(Scenarios!$A$87,0,$C$1)*OFFSET(Scenarios!$A$90,0,$C$1),52*P$91*OFFSET(Scenarios!$A$90,0,$C$1))))-52*P$91*OFFSET(Scenarios!$A$94,0,$C$1))/52,O$92*P$91/O$91)</f>
        <v>956.53880539654972</v>
      </c>
      <c r="Q92" s="170">
        <f ca="1">IF(AND(OFFSET(Scenarios!$A$23,0,$C$1)="YES",OFFSET(Scenarios!$A$25,0,$C$1)&gt;=Q$4),(52*Q$91-IF(52*Q$91&gt;OFFSET(Scenarios!$A$89,0,$C$1),(52*Q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Q$91&gt;OFFSET(Scenarios!$A$88,0,$C$1),(52*Q$91-OFFSET(Scenarios!$A$88,0,$C$1))*OFFSET(Scenarios!$A$92,0,$C$1)+(OFFSET(Scenarios!$A$88,0,$C$1)-OFFSET(Scenarios!$A$87,0,$C$1))*OFFSET(Scenarios!$A$91,0,$C$1)+OFFSET(Scenarios!$A$87,0,$C$1)*OFFSET(Scenarios!$A$90,0,$C$1),IF(52*Q$91&gt;OFFSET(Scenarios!$A$87,0,$C$1),(52*Q$91-OFFSET(Scenarios!$A$87,0,$C$1))*OFFSET(Scenarios!$A$91,0,$C$1)+OFFSET(Scenarios!$A$87,0,$C$1)*OFFSET(Scenarios!$A$90,0,$C$1),52*Q$91*OFFSET(Scenarios!$A$90,0,$C$1))))-52*Q$91*OFFSET(Scenarios!$A$94,0,$C$1))/52,P$92*Q$91/P$91)</f>
        <v>985.56627907320171</v>
      </c>
      <c r="R92" s="170">
        <f ca="1">IF(AND(OFFSET(Scenarios!$A$23,0,$C$1)="YES",OFFSET(Scenarios!$A$25,0,$C$1)&gt;=R$4),(52*R$91-IF(52*R$91&gt;OFFSET(Scenarios!$A$89,0,$C$1),(52*R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R$91&gt;OFFSET(Scenarios!$A$88,0,$C$1),(52*R$91-OFFSET(Scenarios!$A$88,0,$C$1))*OFFSET(Scenarios!$A$92,0,$C$1)+(OFFSET(Scenarios!$A$88,0,$C$1)-OFFSET(Scenarios!$A$87,0,$C$1))*OFFSET(Scenarios!$A$91,0,$C$1)+OFFSET(Scenarios!$A$87,0,$C$1)*OFFSET(Scenarios!$A$90,0,$C$1),IF(52*R$91&gt;OFFSET(Scenarios!$A$87,0,$C$1),(52*R$91-OFFSET(Scenarios!$A$87,0,$C$1))*OFFSET(Scenarios!$A$91,0,$C$1)+OFFSET(Scenarios!$A$87,0,$C$1)*OFFSET(Scenarios!$A$90,0,$C$1),52*R$91*OFFSET(Scenarios!$A$90,0,$C$1))))-52*R$91*OFFSET(Scenarios!$A$94,0,$C$1))/52,Q$92*R$91/Q$91)</f>
        <v>1020.3567687244856</v>
      </c>
      <c r="S92" s="170">
        <f ca="1">IF(AND(OFFSET(Scenarios!$A$23,0,$C$1)="YES",OFFSET(Scenarios!$A$25,0,$C$1)&gt;=S$4),(52*S$91-IF(52*S$91&gt;OFFSET(Scenarios!$A$89,0,$C$1),(52*S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S$91&gt;OFFSET(Scenarios!$A$88,0,$C$1),(52*S$91-OFFSET(Scenarios!$A$88,0,$C$1))*OFFSET(Scenarios!$A$92,0,$C$1)+(OFFSET(Scenarios!$A$88,0,$C$1)-OFFSET(Scenarios!$A$87,0,$C$1))*OFFSET(Scenarios!$A$91,0,$C$1)+OFFSET(Scenarios!$A$87,0,$C$1)*OFFSET(Scenarios!$A$90,0,$C$1),IF(52*S$91&gt;OFFSET(Scenarios!$A$87,0,$C$1),(52*S$91-OFFSET(Scenarios!$A$87,0,$C$1))*OFFSET(Scenarios!$A$91,0,$C$1)+OFFSET(Scenarios!$A$87,0,$C$1)*OFFSET(Scenarios!$A$90,0,$C$1),52*S$91*OFFSET(Scenarios!$A$90,0,$C$1))))-52*S$91*OFFSET(Scenarios!$A$94,0,$C$1))/52,R$92*S$91/R$91)</f>
        <v>1056.37536266046</v>
      </c>
      <c r="T92" s="170">
        <f ca="1">IF(AND(OFFSET(Scenarios!$A$23,0,$C$1)="YES",OFFSET(Scenarios!$A$25,0,$C$1)&gt;=T$4),(52*T$91-IF(52*T$91&gt;OFFSET(Scenarios!$A$89,0,$C$1),(52*T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T$91&gt;OFFSET(Scenarios!$A$88,0,$C$1),(52*T$91-OFFSET(Scenarios!$A$88,0,$C$1))*OFFSET(Scenarios!$A$92,0,$C$1)+(OFFSET(Scenarios!$A$88,0,$C$1)-OFFSET(Scenarios!$A$87,0,$C$1))*OFFSET(Scenarios!$A$91,0,$C$1)+OFFSET(Scenarios!$A$87,0,$C$1)*OFFSET(Scenarios!$A$90,0,$C$1),IF(52*T$91&gt;OFFSET(Scenarios!$A$87,0,$C$1),(52*T$91-OFFSET(Scenarios!$A$87,0,$C$1))*OFFSET(Scenarios!$A$91,0,$C$1)+OFFSET(Scenarios!$A$87,0,$C$1)*OFFSET(Scenarios!$A$90,0,$C$1),52*T$91*OFFSET(Scenarios!$A$90,0,$C$1))))-52*T$91*OFFSET(Scenarios!$A$94,0,$C$1))/52,S$92*T$91/S$91)</f>
        <v>1093.6654129623741</v>
      </c>
      <c r="U92" s="170">
        <f ca="1">IF(AND(OFFSET(Scenarios!$A$23,0,$C$1)="YES",OFFSET(Scenarios!$A$25,0,$C$1)&gt;=U$4),(52*U$91-IF(52*U$91&gt;OFFSET(Scenarios!$A$89,0,$C$1),(52*U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U$91&gt;OFFSET(Scenarios!$A$88,0,$C$1),(52*U$91-OFFSET(Scenarios!$A$88,0,$C$1))*OFFSET(Scenarios!$A$92,0,$C$1)+(OFFSET(Scenarios!$A$88,0,$C$1)-OFFSET(Scenarios!$A$87,0,$C$1))*OFFSET(Scenarios!$A$91,0,$C$1)+OFFSET(Scenarios!$A$87,0,$C$1)*OFFSET(Scenarios!$A$90,0,$C$1),IF(52*U$91&gt;OFFSET(Scenarios!$A$87,0,$C$1),(52*U$91-OFFSET(Scenarios!$A$87,0,$C$1))*OFFSET(Scenarios!$A$91,0,$C$1)+OFFSET(Scenarios!$A$87,0,$C$1)*OFFSET(Scenarios!$A$90,0,$C$1),52*U$91*OFFSET(Scenarios!$A$90,0,$C$1))))-52*U$91*OFFSET(Scenarios!$A$94,0,$C$1))/52,T$92*U$91/T$91)</f>
        <v>1132.2718020399459</v>
      </c>
      <c r="V92" s="170">
        <f ca="1">IF(AND(OFFSET(Scenarios!$A$23,0,$C$1)="YES",OFFSET(Scenarios!$A$25,0,$C$1)&gt;=V$4),(52*V$91-IF(52*V$91&gt;OFFSET(Scenarios!$A$89,0,$C$1),(52*V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V$91&gt;OFFSET(Scenarios!$A$88,0,$C$1),(52*V$91-OFFSET(Scenarios!$A$88,0,$C$1))*OFFSET(Scenarios!$A$92,0,$C$1)+(OFFSET(Scenarios!$A$88,0,$C$1)-OFFSET(Scenarios!$A$87,0,$C$1))*OFFSET(Scenarios!$A$91,0,$C$1)+OFFSET(Scenarios!$A$87,0,$C$1)*OFFSET(Scenarios!$A$90,0,$C$1),IF(52*V$91&gt;OFFSET(Scenarios!$A$87,0,$C$1),(52*V$91-OFFSET(Scenarios!$A$87,0,$C$1))*OFFSET(Scenarios!$A$91,0,$C$1)+OFFSET(Scenarios!$A$87,0,$C$1)*OFFSET(Scenarios!$A$90,0,$C$1),52*V$91*OFFSET(Scenarios!$A$90,0,$C$1))))-52*V$91*OFFSET(Scenarios!$A$94,0,$C$1))/52,U$92*V$91/U$91)</f>
        <v>1172.240996651956</v>
      </c>
      <c r="W92" s="170">
        <f ca="1">IF(AND(OFFSET(Scenarios!$A$23,0,$C$1)="YES",OFFSET(Scenarios!$A$25,0,$C$1)&gt;=W$4),(52*W$91-IF(52*W$91&gt;OFFSET(Scenarios!$A$89,0,$C$1),(52*W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W$91&gt;OFFSET(Scenarios!$A$88,0,$C$1),(52*W$91-OFFSET(Scenarios!$A$88,0,$C$1))*OFFSET(Scenarios!$A$92,0,$C$1)+(OFFSET(Scenarios!$A$88,0,$C$1)-OFFSET(Scenarios!$A$87,0,$C$1))*OFFSET(Scenarios!$A$91,0,$C$1)+OFFSET(Scenarios!$A$87,0,$C$1)*OFFSET(Scenarios!$A$90,0,$C$1),IF(52*W$91&gt;OFFSET(Scenarios!$A$87,0,$C$1),(52*W$91-OFFSET(Scenarios!$A$87,0,$C$1))*OFFSET(Scenarios!$A$91,0,$C$1)+OFFSET(Scenarios!$A$87,0,$C$1)*OFFSET(Scenarios!$A$90,0,$C$1),52*W$91*OFFSET(Scenarios!$A$90,0,$C$1))))-52*W$91*OFFSET(Scenarios!$A$94,0,$C$1))/52,V$92*W$91/V$91)</f>
        <v>1213.6211038337701</v>
      </c>
      <c r="X92" s="170">
        <f ca="1">IF(AND(OFFSET(Scenarios!$A$23,0,$C$1)="YES",OFFSET(Scenarios!$A$25,0,$C$1)&gt;=X$4),(52*X$91-IF(52*X$91&gt;OFFSET(Scenarios!$A$89,0,$C$1),(52*X$91-OFFSET(Scenarios!$A$89,0,$C$1))*OFFSET(Scenarios!$A$93,0,$C$1)+(OFFSET(Scenarios!$A$89,0,$C$1)-OFFSET(Scenarios!$A$88,0,$C$1))*OFFSET(Scenarios!$A$92,0,$C$1)+(OFFSET(Scenarios!$A$88,0,$C$1)-OFFSET(Scenarios!$A$87,0,$C$1))*OFFSET(Scenarios!$A$91,0,$C$1)+OFFSET(Scenarios!$A$87,0,$C$1)*OFFSET(Scenarios!$A$90,0,$C$1),IF(52*X$91&gt;OFFSET(Scenarios!$A$88,0,$C$1),(52*X$91-OFFSET(Scenarios!$A$88,0,$C$1))*OFFSET(Scenarios!$A$92,0,$C$1)+(OFFSET(Scenarios!$A$88,0,$C$1)-OFFSET(Scenarios!$A$87,0,$C$1))*OFFSET(Scenarios!$A$91,0,$C$1)+OFFSET(Scenarios!$A$87,0,$C$1)*OFFSET(Scenarios!$A$90,0,$C$1),IF(52*X$91&gt;OFFSET(Scenarios!$A$87,0,$C$1),(52*X$91-OFFSET(Scenarios!$A$87,0,$C$1))*OFFSET(Scenarios!$A$91,0,$C$1)+OFFSET(Scenarios!$A$87,0,$C$1)*OFFSET(Scenarios!$A$90,0,$C$1),52*X$91*OFFSET(Scenarios!$A$90,0,$C$1))))-52*X$91*OFFSET(Scenarios!$A$94,0,$C$1))/52,W$92*X$91/W$91)</f>
        <v>1256.461928799102</v>
      </c>
    </row>
    <row r="93" spans="1:24" x14ac:dyDescent="0.2">
      <c r="A93" s="220" t="s">
        <v>689</v>
      </c>
      <c r="B93" s="228"/>
      <c r="C93" s="69"/>
      <c r="D93" s="175">
        <f>Data!C$223</f>
        <v>213.12</v>
      </c>
      <c r="E93" s="175">
        <f>Data!D$223</f>
        <v>219.9</v>
      </c>
      <c r="F93" s="175">
        <f>Data!E$223</f>
        <v>239.19</v>
      </c>
      <c r="G93" s="175">
        <f>Data!F$223</f>
        <v>244.71</v>
      </c>
      <c r="H93" s="175">
        <f>Data!G$223</f>
        <v>261.48</v>
      </c>
      <c r="I93" s="175">
        <f>Data!H$223</f>
        <v>268.39999999999998</v>
      </c>
      <c r="J93" s="284">
        <f>Data!I$223</f>
        <v>274.94</v>
      </c>
      <c r="K93" s="284">
        <f>Data!J$223</f>
        <v>281.18</v>
      </c>
      <c r="L93" s="284">
        <f>Data!K$223</f>
        <v>285.95999999999998</v>
      </c>
      <c r="M93" s="284">
        <f>Data!L$223</f>
        <v>291.18</v>
      </c>
      <c r="N93" s="284">
        <f>Data!M$223</f>
        <v>299.06</v>
      </c>
      <c r="O93" s="170">
        <f ca="1">IF(OFFSET(Scenarios!$A$52,0,$C$1)="Yes", IF(2*N$93*(1+O$247)/O$92 &gt; OFFSET(Scenarios!$A$53,0,$C$1), N$93*(1+O$247), O$92*OFFSET(Scenarios!$A$53,0,$C$1)/2), N$93*(1+O$247))</f>
        <v>305.15546912869701</v>
      </c>
      <c r="P93" s="170">
        <f ca="1">IF(OFFSET(Scenarios!$A$52,0,$C$1)="Yes", IF(2*O$93*(1+P$247)/P$92 &gt; OFFSET(Scenarios!$A$53,0,$C$1), O$93*(1+P$247), P$92*OFFSET(Scenarios!$A$53,0,$C$1)/2), O$93*(1+P$247))</f>
        <v>311.25857851127097</v>
      </c>
      <c r="Q93" s="170">
        <f ca="1">IF(OFFSET(Scenarios!$A$52,0,$C$1)="Yes", IF(2*P$93*(1+Q$247)/Q$92 &gt; OFFSET(Scenarios!$A$53,0,$C$1), P$93*(1+Q$247), Q$92*OFFSET(Scenarios!$A$53,0,$C$1)/2), P$93*(1+Q$247))</f>
        <v>320.30904069879057</v>
      </c>
      <c r="R93" s="170">
        <f ca="1">IF(OFFSET(Scenarios!$A$52,0,$C$1)="Yes", IF(2*Q$93*(1+R$247)/R$92 &gt; OFFSET(Scenarios!$A$53,0,$C$1), Q$93*(1+R$247), R$92*OFFSET(Scenarios!$A$53,0,$C$1)/2), Q$93*(1+R$247))</f>
        <v>331.61594983545785</v>
      </c>
      <c r="S93" s="170">
        <f ca="1">IF(OFFSET(Scenarios!$A$52,0,$C$1)="Yes", IF(2*R$93*(1+S$247)/S$92 &gt; OFFSET(Scenarios!$A$53,0,$C$1), R$93*(1+S$247), S$92*OFFSET(Scenarios!$A$53,0,$C$1)/2), R$93*(1+S$247))</f>
        <v>343.32199286464953</v>
      </c>
      <c r="T93" s="170">
        <f ca="1">IF(OFFSET(Scenarios!$A$52,0,$C$1)="Yes", IF(2*S$93*(1+T$247)/T$92 &gt; OFFSET(Scenarios!$A$53,0,$C$1), S$93*(1+T$247), T$92*OFFSET(Scenarios!$A$53,0,$C$1)/2), S$93*(1+T$247))</f>
        <v>355.44125921277163</v>
      </c>
      <c r="U93" s="170">
        <f ca="1">IF(OFFSET(Scenarios!$A$52,0,$C$1)="Yes", IF(2*T$93*(1+U$247)/U$92 &gt; OFFSET(Scenarios!$A$53,0,$C$1), T$93*(1+U$247), U$92*OFFSET(Scenarios!$A$53,0,$C$1)/2), T$93*(1+U$247))</f>
        <v>367.98833566298242</v>
      </c>
      <c r="V93" s="170">
        <f ca="1">IF(OFFSET(Scenarios!$A$52,0,$C$1)="Yes", IF(2*U$93*(1+V$247)/V$92 &gt; OFFSET(Scenarios!$A$53,0,$C$1), U$93*(1+V$247), V$92*OFFSET(Scenarios!$A$53,0,$C$1)/2), U$93*(1+V$247))</f>
        <v>380.97832391188575</v>
      </c>
      <c r="W93" s="170">
        <f ca="1">IF(OFFSET(Scenarios!$A$52,0,$C$1)="Yes", IF(2*V$93*(1+W$247)/W$92 &gt; OFFSET(Scenarios!$A$53,0,$C$1), V$93*(1+W$247), W$92*OFFSET(Scenarios!$A$53,0,$C$1)/2), V$93*(1+W$247))</f>
        <v>394.42685874597532</v>
      </c>
      <c r="X93" s="170">
        <f ca="1">IF(OFFSET(Scenarios!$A$52,0,$C$1)="Yes", IF(2*W$93*(1+X$247)/X$92 &gt; OFFSET(Scenarios!$A$53,0,$C$1), W$93*(1+X$247), X$92*OFFSET(Scenarios!$A$53,0,$C$1)/2), W$93*(1+X$247))</f>
        <v>408.35012685970815</v>
      </c>
    </row>
    <row r="94" spans="1:24" x14ac:dyDescent="0.2">
      <c r="A94" s="220" t="s">
        <v>870</v>
      </c>
      <c r="B94" s="228"/>
      <c r="C94" s="69"/>
      <c r="D94" s="175">
        <f>Data!C$224</f>
        <v>255.7</v>
      </c>
      <c r="E94" s="175">
        <f>Data!D$224</f>
        <v>264.37</v>
      </c>
      <c r="F94" s="175">
        <f>Data!E$224</f>
        <v>273.63</v>
      </c>
      <c r="G94" s="175">
        <f>Data!F$224</f>
        <v>280.62</v>
      </c>
      <c r="H94" s="175">
        <f>Data!G$224</f>
        <v>294.08</v>
      </c>
      <c r="I94" s="175">
        <f>Data!H$224</f>
        <v>302.39999999999998</v>
      </c>
      <c r="J94" s="284">
        <f>Data!I$224</f>
        <v>310.33999999999997</v>
      </c>
      <c r="K94" s="284">
        <f>Data!J$224</f>
        <v>317.8</v>
      </c>
      <c r="L94" s="284">
        <f>Data!K$224</f>
        <v>323.63</v>
      </c>
      <c r="M94" s="284">
        <f>Data!L$224</f>
        <v>330.08</v>
      </c>
      <c r="N94" s="284">
        <f>Data!M$224</f>
        <v>339.53</v>
      </c>
      <c r="O94" s="345">
        <f ca="1">IF(AND(OFFSET(Scenarios!$A$23,0,$C$1)="Yes",O$4&lt;=OFFSET(Scenarios!$A$25,0,$C$1)),IF(52*O$93&gt;(OFFSET(Scenarios!$A$89,0,$C$1)*(1-OFFSET(Scenarios!$A$92,0,$C$1))+OFFSET(Scenarios!$A$88,0,$C$1)*(OFFSET(Scenarios!$A$92,0,$C$1)-OFFSET(Scenarios!$A$91,0,$C$1))+OFFSET(Scenarios!$A$87,0,$C$1)*(OFFSET(Scenarios!$A$91,0,$C$1)-OFFSET(Scenarios!$A$90,0,$C$1))),(52*O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O$93&gt;(OFFSET(Scenarios!$A$88,0,$C$1)*(1-OFFSET(Scenarios!$A$91,0,$C$1))+OFFSET(Scenarios!$A$87,0,$C$1)*(OFFSET(Scenarios!$A$91,0,$C$1)-OFFSET(Scenarios!$A$90,0,$C$1))),(52*O$93-OFFSET(Scenarios!$A$88,0,$C$1)*OFFSET(Scenarios!$A$92,0,$C$1)+OFFSET(Scenarios!$A$88,0,$C$1)*OFFSET(Scenarios!$A$91,0,$C$1)-OFFSET(Scenarios!$A$87,0,$C$1)*(OFFSET(Scenarios!$A$91,0,$C$1)-OFFSET(Scenarios!$A$90,0,$C$1)))/(1-OFFSET(Scenarios!$A$92,0,$C$1)),IF(52*O$93&gt;(OFFSET(Scenarios!$A$87,0,$C$1)*(1-OFFSET(Scenarios!$A$90,0,$C$1))),(52*O$93-OFFSET(Scenarios!$A$87,0,$C$1)*OFFSET(Scenarios!$A$91,0,$C$1)+OFFSET(Scenarios!$A$87,0,$C$1)*OFFSET(Scenarios!$A$90,0,$C$1))/(1-OFFSET(Scenarios!$A$91,0,$C$1)),IF(52*O$93&gt;0,52*O$93/(1-OFFSET(Scenarios!$A$90,0,$C$1)),0))))/52,N$94*O$93/N$93)</f>
        <v>347.04159428187052</v>
      </c>
      <c r="P94" s="345">
        <f ca="1">IF(AND(OFFSET(Scenarios!$A$23,0,$C$1)="Yes",P$4&lt;=OFFSET(Scenarios!$A$25,0,$C$1)),IF(52*P$93&gt;(OFFSET(Scenarios!$A$89,0,$C$1)*(1-OFFSET(Scenarios!$A$92,0,$C$1))+OFFSET(Scenarios!$A$88,0,$C$1)*(OFFSET(Scenarios!$A$92,0,$C$1)-OFFSET(Scenarios!$A$91,0,$C$1))+OFFSET(Scenarios!$A$87,0,$C$1)*(OFFSET(Scenarios!$A$91,0,$C$1)-OFFSET(Scenarios!$A$90,0,$C$1))),(52*P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P$93&gt;(OFFSET(Scenarios!$A$88,0,$C$1)*(1-OFFSET(Scenarios!$A$91,0,$C$1))+OFFSET(Scenarios!$A$87,0,$C$1)*(OFFSET(Scenarios!$A$91,0,$C$1)-OFFSET(Scenarios!$A$90,0,$C$1))),(52*P$93-OFFSET(Scenarios!$A$88,0,$C$1)*OFFSET(Scenarios!$A$92,0,$C$1)+OFFSET(Scenarios!$A$88,0,$C$1)*OFFSET(Scenarios!$A$91,0,$C$1)-OFFSET(Scenarios!$A$87,0,$C$1)*(OFFSET(Scenarios!$A$91,0,$C$1)-OFFSET(Scenarios!$A$90,0,$C$1)))/(1-OFFSET(Scenarios!$A$92,0,$C$1)),IF(52*P$93&gt;(OFFSET(Scenarios!$A$87,0,$C$1)*(1-OFFSET(Scenarios!$A$90,0,$C$1))),(52*P$93-OFFSET(Scenarios!$A$87,0,$C$1)*OFFSET(Scenarios!$A$91,0,$C$1)+OFFSET(Scenarios!$A$87,0,$C$1)*OFFSET(Scenarios!$A$90,0,$C$1))/(1-OFFSET(Scenarios!$A$91,0,$C$1)),IF(52*P$93&gt;0,52*P$93/(1-OFFSET(Scenarios!$A$90,0,$C$1)),0))))/52,O$94*P$93/O$93)</f>
        <v>354.43930262438437</v>
      </c>
      <c r="Q94" s="345">
        <f ca="1">IF(AND(OFFSET(Scenarios!$A$23,0,$C$1)="Yes",Q$4&lt;=OFFSET(Scenarios!$A$25,0,$C$1)),IF(52*Q$93&gt;(OFFSET(Scenarios!$A$89,0,$C$1)*(1-OFFSET(Scenarios!$A$92,0,$C$1))+OFFSET(Scenarios!$A$88,0,$C$1)*(OFFSET(Scenarios!$A$92,0,$C$1)-OFFSET(Scenarios!$A$91,0,$C$1))+OFFSET(Scenarios!$A$87,0,$C$1)*(OFFSET(Scenarios!$A$91,0,$C$1)-OFFSET(Scenarios!$A$90,0,$C$1))),(52*Q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Q$93&gt;(OFFSET(Scenarios!$A$88,0,$C$1)*(1-OFFSET(Scenarios!$A$91,0,$C$1))+OFFSET(Scenarios!$A$87,0,$C$1)*(OFFSET(Scenarios!$A$91,0,$C$1)-OFFSET(Scenarios!$A$90,0,$C$1))),(52*Q$93-OFFSET(Scenarios!$A$88,0,$C$1)*OFFSET(Scenarios!$A$92,0,$C$1)+OFFSET(Scenarios!$A$88,0,$C$1)*OFFSET(Scenarios!$A$91,0,$C$1)-OFFSET(Scenarios!$A$87,0,$C$1)*(OFFSET(Scenarios!$A$91,0,$C$1)-OFFSET(Scenarios!$A$90,0,$C$1)))/(1-OFFSET(Scenarios!$A$92,0,$C$1)),IF(52*Q$93&gt;(OFFSET(Scenarios!$A$87,0,$C$1)*(1-OFFSET(Scenarios!$A$90,0,$C$1))),(52*Q$93-OFFSET(Scenarios!$A$87,0,$C$1)*OFFSET(Scenarios!$A$91,0,$C$1)+OFFSET(Scenarios!$A$87,0,$C$1)*OFFSET(Scenarios!$A$90,0,$C$1))/(1-OFFSET(Scenarios!$A$91,0,$C$1)),IF(52*Q$93&gt;0,52*Q$93/(1-OFFSET(Scenarios!$A$90,0,$C$1)),0))))/52,P$94*Q$93/P$93)</f>
        <v>365.4095598213778</v>
      </c>
      <c r="R94" s="345">
        <f ca="1">IF(AND(OFFSET(Scenarios!$A$23,0,$C$1)="Yes",R$4&lt;=OFFSET(Scenarios!$A$25,0,$C$1)),IF(52*R$93&gt;(OFFSET(Scenarios!$A$89,0,$C$1)*(1-OFFSET(Scenarios!$A$92,0,$C$1))+OFFSET(Scenarios!$A$88,0,$C$1)*(OFFSET(Scenarios!$A$92,0,$C$1)-OFFSET(Scenarios!$A$91,0,$C$1))+OFFSET(Scenarios!$A$87,0,$C$1)*(OFFSET(Scenarios!$A$91,0,$C$1)-OFFSET(Scenarios!$A$90,0,$C$1))),(52*R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R$93&gt;(OFFSET(Scenarios!$A$88,0,$C$1)*(1-OFFSET(Scenarios!$A$91,0,$C$1))+OFFSET(Scenarios!$A$87,0,$C$1)*(OFFSET(Scenarios!$A$91,0,$C$1)-OFFSET(Scenarios!$A$90,0,$C$1))),(52*R$93-OFFSET(Scenarios!$A$88,0,$C$1)*OFFSET(Scenarios!$A$92,0,$C$1)+OFFSET(Scenarios!$A$88,0,$C$1)*OFFSET(Scenarios!$A$91,0,$C$1)-OFFSET(Scenarios!$A$87,0,$C$1)*(OFFSET(Scenarios!$A$91,0,$C$1)-OFFSET(Scenarios!$A$90,0,$C$1)))/(1-OFFSET(Scenarios!$A$92,0,$C$1)),IF(52*R$93&gt;(OFFSET(Scenarios!$A$87,0,$C$1)*(1-OFFSET(Scenarios!$A$90,0,$C$1))),(52*R$93-OFFSET(Scenarios!$A$87,0,$C$1)*OFFSET(Scenarios!$A$91,0,$C$1)+OFFSET(Scenarios!$A$87,0,$C$1)*OFFSET(Scenarios!$A$90,0,$C$1))/(1-OFFSET(Scenarios!$A$91,0,$C$1)),IF(52*R$93&gt;0,52*R$93/(1-OFFSET(Scenarios!$A$90,0,$C$1)),0))))/52,Q$94*R$93/Q$93)</f>
        <v>378.30851728307243</v>
      </c>
      <c r="S94" s="345">
        <f ca="1">IF(AND(OFFSET(Scenarios!$A$23,0,$C$1)="Yes",S$4&lt;=OFFSET(Scenarios!$A$25,0,$C$1)),IF(52*S$93&gt;(OFFSET(Scenarios!$A$89,0,$C$1)*(1-OFFSET(Scenarios!$A$92,0,$C$1))+OFFSET(Scenarios!$A$88,0,$C$1)*(OFFSET(Scenarios!$A$92,0,$C$1)-OFFSET(Scenarios!$A$91,0,$C$1))+OFFSET(Scenarios!$A$87,0,$C$1)*(OFFSET(Scenarios!$A$91,0,$C$1)-OFFSET(Scenarios!$A$90,0,$C$1))),(52*S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S$93&gt;(OFFSET(Scenarios!$A$88,0,$C$1)*(1-OFFSET(Scenarios!$A$91,0,$C$1))+OFFSET(Scenarios!$A$87,0,$C$1)*(OFFSET(Scenarios!$A$91,0,$C$1)-OFFSET(Scenarios!$A$90,0,$C$1))),(52*S$93-OFFSET(Scenarios!$A$88,0,$C$1)*OFFSET(Scenarios!$A$92,0,$C$1)+OFFSET(Scenarios!$A$88,0,$C$1)*OFFSET(Scenarios!$A$91,0,$C$1)-OFFSET(Scenarios!$A$87,0,$C$1)*(OFFSET(Scenarios!$A$91,0,$C$1)-OFFSET(Scenarios!$A$90,0,$C$1)))/(1-OFFSET(Scenarios!$A$92,0,$C$1)),IF(52*S$93&gt;(OFFSET(Scenarios!$A$87,0,$C$1)*(1-OFFSET(Scenarios!$A$90,0,$C$1))),(52*S$93-OFFSET(Scenarios!$A$87,0,$C$1)*OFFSET(Scenarios!$A$91,0,$C$1)+OFFSET(Scenarios!$A$87,0,$C$1)*OFFSET(Scenarios!$A$90,0,$C$1))/(1-OFFSET(Scenarios!$A$91,0,$C$1)),IF(52*S$93&gt;0,52*S$93/(1-OFFSET(Scenarios!$A$90,0,$C$1)),0))))/52,R$94*S$93/R$93)</f>
        <v>391.66280794316492</v>
      </c>
      <c r="T94" s="345">
        <f ca="1">IF(AND(OFFSET(Scenarios!$A$23,0,$C$1)="Yes",T$4&lt;=OFFSET(Scenarios!$A$25,0,$C$1)),IF(52*T$93&gt;(OFFSET(Scenarios!$A$89,0,$C$1)*(1-OFFSET(Scenarios!$A$92,0,$C$1))+OFFSET(Scenarios!$A$88,0,$C$1)*(OFFSET(Scenarios!$A$92,0,$C$1)-OFFSET(Scenarios!$A$91,0,$C$1))+OFFSET(Scenarios!$A$87,0,$C$1)*(OFFSET(Scenarios!$A$91,0,$C$1)-OFFSET(Scenarios!$A$90,0,$C$1))),(52*T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T$93&gt;(OFFSET(Scenarios!$A$88,0,$C$1)*(1-OFFSET(Scenarios!$A$91,0,$C$1))+OFFSET(Scenarios!$A$87,0,$C$1)*(OFFSET(Scenarios!$A$91,0,$C$1)-OFFSET(Scenarios!$A$90,0,$C$1))),(52*T$93-OFFSET(Scenarios!$A$88,0,$C$1)*OFFSET(Scenarios!$A$92,0,$C$1)+OFFSET(Scenarios!$A$88,0,$C$1)*OFFSET(Scenarios!$A$91,0,$C$1)-OFFSET(Scenarios!$A$87,0,$C$1)*(OFFSET(Scenarios!$A$91,0,$C$1)-OFFSET(Scenarios!$A$90,0,$C$1)))/(1-OFFSET(Scenarios!$A$92,0,$C$1)),IF(52*T$93&gt;(OFFSET(Scenarios!$A$87,0,$C$1)*(1-OFFSET(Scenarios!$A$90,0,$C$1))),(52*T$93-OFFSET(Scenarios!$A$87,0,$C$1)*OFFSET(Scenarios!$A$91,0,$C$1)+OFFSET(Scenarios!$A$87,0,$C$1)*OFFSET(Scenarios!$A$90,0,$C$1))/(1-OFFSET(Scenarios!$A$91,0,$C$1)),IF(52*T$93&gt;0,52*T$93/(1-OFFSET(Scenarios!$A$90,0,$C$1)),0))))/52,S$94*T$93/S$93)</f>
        <v>405.48850506355859</v>
      </c>
      <c r="U94" s="345">
        <f ca="1">IF(AND(OFFSET(Scenarios!$A$23,0,$C$1)="Yes",U$4&lt;=OFFSET(Scenarios!$A$25,0,$C$1)),IF(52*U$93&gt;(OFFSET(Scenarios!$A$89,0,$C$1)*(1-OFFSET(Scenarios!$A$92,0,$C$1))+OFFSET(Scenarios!$A$88,0,$C$1)*(OFFSET(Scenarios!$A$92,0,$C$1)-OFFSET(Scenarios!$A$91,0,$C$1))+OFFSET(Scenarios!$A$87,0,$C$1)*(OFFSET(Scenarios!$A$91,0,$C$1)-OFFSET(Scenarios!$A$90,0,$C$1))),(52*U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U$93&gt;(OFFSET(Scenarios!$A$88,0,$C$1)*(1-OFFSET(Scenarios!$A$91,0,$C$1))+OFFSET(Scenarios!$A$87,0,$C$1)*(OFFSET(Scenarios!$A$91,0,$C$1)-OFFSET(Scenarios!$A$90,0,$C$1))),(52*U$93-OFFSET(Scenarios!$A$88,0,$C$1)*OFFSET(Scenarios!$A$92,0,$C$1)+OFFSET(Scenarios!$A$88,0,$C$1)*OFFSET(Scenarios!$A$91,0,$C$1)-OFFSET(Scenarios!$A$87,0,$C$1)*(OFFSET(Scenarios!$A$91,0,$C$1)-OFFSET(Scenarios!$A$90,0,$C$1)))/(1-OFFSET(Scenarios!$A$92,0,$C$1)),IF(52*U$93&gt;(OFFSET(Scenarios!$A$87,0,$C$1)*(1-OFFSET(Scenarios!$A$90,0,$C$1))),(52*U$93-OFFSET(Scenarios!$A$87,0,$C$1)*OFFSET(Scenarios!$A$91,0,$C$1)+OFFSET(Scenarios!$A$87,0,$C$1)*OFFSET(Scenarios!$A$90,0,$C$1))/(1-OFFSET(Scenarios!$A$91,0,$C$1)),IF(52*U$93&gt;0,52*U$93/(1-OFFSET(Scenarios!$A$90,0,$C$1)),0))))/52,T$94*U$93/T$93)</f>
        <v>419.80224929230212</v>
      </c>
      <c r="V94" s="345">
        <f ca="1">IF(AND(OFFSET(Scenarios!$A$23,0,$C$1)="Yes",V$4&lt;=OFFSET(Scenarios!$A$25,0,$C$1)),IF(52*V$93&gt;(OFFSET(Scenarios!$A$89,0,$C$1)*(1-OFFSET(Scenarios!$A$92,0,$C$1))+OFFSET(Scenarios!$A$88,0,$C$1)*(OFFSET(Scenarios!$A$92,0,$C$1)-OFFSET(Scenarios!$A$91,0,$C$1))+OFFSET(Scenarios!$A$87,0,$C$1)*(OFFSET(Scenarios!$A$91,0,$C$1)-OFFSET(Scenarios!$A$90,0,$C$1))),(52*V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V$93&gt;(OFFSET(Scenarios!$A$88,0,$C$1)*(1-OFFSET(Scenarios!$A$91,0,$C$1))+OFFSET(Scenarios!$A$87,0,$C$1)*(OFFSET(Scenarios!$A$91,0,$C$1)-OFFSET(Scenarios!$A$90,0,$C$1))),(52*V$93-OFFSET(Scenarios!$A$88,0,$C$1)*OFFSET(Scenarios!$A$92,0,$C$1)+OFFSET(Scenarios!$A$88,0,$C$1)*OFFSET(Scenarios!$A$91,0,$C$1)-OFFSET(Scenarios!$A$87,0,$C$1)*(OFFSET(Scenarios!$A$91,0,$C$1)-OFFSET(Scenarios!$A$90,0,$C$1)))/(1-OFFSET(Scenarios!$A$92,0,$C$1)),IF(52*V$93&gt;(OFFSET(Scenarios!$A$87,0,$C$1)*(1-OFFSET(Scenarios!$A$90,0,$C$1))),(52*V$93-OFFSET(Scenarios!$A$87,0,$C$1)*OFFSET(Scenarios!$A$91,0,$C$1)+OFFSET(Scenarios!$A$87,0,$C$1)*OFFSET(Scenarios!$A$90,0,$C$1))/(1-OFFSET(Scenarios!$A$91,0,$C$1)),IF(52*V$93&gt;0,52*V$93/(1-OFFSET(Scenarios!$A$90,0,$C$1)),0))))/52,U$94*V$93/U$93)</f>
        <v>434.62126869232048</v>
      </c>
      <c r="W94" s="345">
        <f ca="1">IF(AND(OFFSET(Scenarios!$A$23,0,$C$1)="Yes",W$4&lt;=OFFSET(Scenarios!$A$25,0,$C$1)),IF(52*W$93&gt;(OFFSET(Scenarios!$A$89,0,$C$1)*(1-OFFSET(Scenarios!$A$92,0,$C$1))+OFFSET(Scenarios!$A$88,0,$C$1)*(OFFSET(Scenarios!$A$92,0,$C$1)-OFFSET(Scenarios!$A$91,0,$C$1))+OFFSET(Scenarios!$A$87,0,$C$1)*(OFFSET(Scenarios!$A$91,0,$C$1)-OFFSET(Scenarios!$A$90,0,$C$1))),(52*W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W$93&gt;(OFFSET(Scenarios!$A$88,0,$C$1)*(1-OFFSET(Scenarios!$A$91,0,$C$1))+OFFSET(Scenarios!$A$87,0,$C$1)*(OFFSET(Scenarios!$A$91,0,$C$1)-OFFSET(Scenarios!$A$90,0,$C$1))),(52*W$93-OFFSET(Scenarios!$A$88,0,$C$1)*OFFSET(Scenarios!$A$92,0,$C$1)+OFFSET(Scenarios!$A$88,0,$C$1)*OFFSET(Scenarios!$A$91,0,$C$1)-OFFSET(Scenarios!$A$87,0,$C$1)*(OFFSET(Scenarios!$A$91,0,$C$1)-OFFSET(Scenarios!$A$90,0,$C$1)))/(1-OFFSET(Scenarios!$A$92,0,$C$1)),IF(52*W$93&gt;(OFFSET(Scenarios!$A$87,0,$C$1)*(1-OFFSET(Scenarios!$A$90,0,$C$1))),(52*W$93-OFFSET(Scenarios!$A$87,0,$C$1)*OFFSET(Scenarios!$A$91,0,$C$1)+OFFSET(Scenarios!$A$87,0,$C$1)*OFFSET(Scenarios!$A$90,0,$C$1))/(1-OFFSET(Scenarios!$A$91,0,$C$1)),IF(52*W$93&gt;0,52*W$93/(1-OFFSET(Scenarios!$A$90,0,$C$1)),0))))/52,V$94*W$93/V$93)</f>
        <v>449.96339947715944</v>
      </c>
      <c r="X94" s="345">
        <f ca="1">IF(AND(OFFSET(Scenarios!$A$23,0,$C$1)="Yes",X$4&lt;=OFFSET(Scenarios!$A$25,0,$C$1)),IF(52*X$93&gt;(OFFSET(Scenarios!$A$89,0,$C$1)*(1-OFFSET(Scenarios!$A$92,0,$C$1))+OFFSET(Scenarios!$A$88,0,$C$1)*(OFFSET(Scenarios!$A$92,0,$C$1)-OFFSET(Scenarios!$A$91,0,$C$1))+OFFSET(Scenarios!$A$87,0,$C$1)*(OFFSET(Scenarios!$A$91,0,$C$1)-OFFSET(Scenarios!$A$90,0,$C$1))),(52*X$93-OFFSET(Scenarios!$A$89,0,$C$1)*OFFSET(Scenarios!$A$93,0,$C$1)+OFFSET(Scenarios!$A$89,0,$C$1)*OFFSET(Scenarios!$A$92,0,$C$1)-OFFSET(Scenarios!$A$88,0,$C$1)*(OFFSET(Scenarios!$A$92,0,$C$1)-OFFSET(Scenarios!$A$91,0,$C$1))-OFFSET(Scenarios!$A$87,0,$C$1)*(OFFSET(Scenarios!$A$91,0,$C$1)-OFFSET(Scenarios!$A$90,0,$C$1)))/(1-OFFSET(Scenarios!$A$93,0,$C$1)),IF(52*X$93&gt;(OFFSET(Scenarios!$A$88,0,$C$1)*(1-OFFSET(Scenarios!$A$91,0,$C$1))+OFFSET(Scenarios!$A$87,0,$C$1)*(OFFSET(Scenarios!$A$91,0,$C$1)-OFFSET(Scenarios!$A$90,0,$C$1))),(52*X$93-OFFSET(Scenarios!$A$88,0,$C$1)*OFFSET(Scenarios!$A$92,0,$C$1)+OFFSET(Scenarios!$A$88,0,$C$1)*OFFSET(Scenarios!$A$91,0,$C$1)-OFFSET(Scenarios!$A$87,0,$C$1)*(OFFSET(Scenarios!$A$91,0,$C$1)-OFFSET(Scenarios!$A$90,0,$C$1)))/(1-OFFSET(Scenarios!$A$92,0,$C$1)),IF(52*X$93&gt;(OFFSET(Scenarios!$A$87,0,$C$1)*(1-OFFSET(Scenarios!$A$90,0,$C$1))),(52*X$93-OFFSET(Scenarios!$A$87,0,$C$1)*OFFSET(Scenarios!$A$91,0,$C$1)+OFFSET(Scenarios!$A$87,0,$C$1)*OFFSET(Scenarios!$A$90,0,$C$1))/(1-OFFSET(Scenarios!$A$91,0,$C$1)),IF(52*X$93&gt;0,52*X$93/(1-OFFSET(Scenarios!$A$90,0,$C$1)),0))))/52,W$94*X$93/W$93)</f>
        <v>465.84710747870304</v>
      </c>
    </row>
    <row r="95" spans="1:24" x14ac:dyDescent="0.2">
      <c r="A95" s="220" t="s">
        <v>862</v>
      </c>
      <c r="B95" s="228"/>
      <c r="C95" s="69"/>
      <c r="D95" s="69">
        <f>Data!C$225</f>
        <v>5.5419999999999998</v>
      </c>
      <c r="E95" s="69">
        <f>Data!D$225</f>
        <v>5.9660000000000002</v>
      </c>
      <c r="F95" s="69">
        <f>Data!E$225</f>
        <v>6.4550000000000001</v>
      </c>
      <c r="G95" s="69">
        <f>Data!F$225</f>
        <v>6.9630000000000001</v>
      </c>
      <c r="H95" s="69">
        <f>Data!G$225</f>
        <v>7.5609999999999999</v>
      </c>
      <c r="I95" s="69">
        <f>Data!H$225</f>
        <v>8.2379999999999995</v>
      </c>
      <c r="J95" s="123">
        <f>Data!I$225</f>
        <v>8.7739999999999991</v>
      </c>
      <c r="K95" s="123">
        <f>Data!J$225</f>
        <v>9.3119999999999994</v>
      </c>
      <c r="L95" s="123">
        <f>Data!K$225</f>
        <v>9.8010000000000002</v>
      </c>
      <c r="M95" s="123">
        <f>Data!L$225</f>
        <v>10.301</v>
      </c>
      <c r="N95" s="123">
        <f>Data!M$225</f>
        <v>10.804</v>
      </c>
      <c r="O95" s="73">
        <f ca="1">N$95*(1+Popn!O$201)*(3*N$93/M$93+O$93/N$93)/4</f>
        <v>11.429133791306485</v>
      </c>
      <c r="P95" s="73">
        <f ca="1">O$95*(1+Popn!P$201)*(3*O$93/N$93+P$93/O$93)/4</f>
        <v>12.038077999843784</v>
      </c>
      <c r="Q95" s="73">
        <f ca="1">P$95*(1+Popn!Q$201)*(3*P$93/O$93+Q$93/P$93)/4</f>
        <v>12.70359238714188</v>
      </c>
      <c r="R95" s="73">
        <f ca="1">Q$95*(1+Popn!R$201)*(3*Q$93/P$93+R$93/Q$93)/4</f>
        <v>13.526655488671784</v>
      </c>
      <c r="S95" s="73">
        <f ca="1">R$95*(1+Popn!S$201)*(3*R$93/Q$93+S$93/R$93)/4</f>
        <v>14.462392840995257</v>
      </c>
      <c r="T95" s="73">
        <f ca="1">S$95*(1+Popn!T$201)*(3*S$93/R$93+T$93/S$93)/4</f>
        <v>15.450154428860293</v>
      </c>
      <c r="U95" s="73">
        <f ca="1">T$95*(1+Popn!U$201)*(3*T$93/S$93+U$93/T$93)/4</f>
        <v>16.526627734389749</v>
      </c>
      <c r="V95" s="73">
        <f ca="1">U$95*(1+Popn!V$201)*(3*U$93/T$93+V$93/U$93)/4</f>
        <v>17.662678057595542</v>
      </c>
      <c r="W95" s="73">
        <f ca="1">V$95*(1+Popn!W$201)*(3*V$93/U$93+W$93/V$93)/4</f>
        <v>18.890376659157326</v>
      </c>
      <c r="X95" s="73">
        <f ca="1">W$95*(1+Popn!X$201)*(3*W$93/V$93+X$93/W$93)/4</f>
        <v>20.188808755820904</v>
      </c>
    </row>
    <row r="96" spans="1:24" x14ac:dyDescent="0.2">
      <c r="A96" s="106" t="s">
        <v>629</v>
      </c>
      <c r="B96" s="36"/>
      <c r="C96" s="69"/>
      <c r="D96" s="69">
        <f>SUM(SUM(Popn!D$9:D$13)*Tracks!$C$37,SUM(Popn!D$103:D$107)*Tracks!$B$37,SUM(Popn!D$14:D$18)*Tracks!$C$38,SUM(Popn!D$108:D$112)*Tracks!$B$38,SUM(Popn!D$19:D$23)*Tracks!$C$39,SUM(Popn!D$113:D$117)*Tracks!$B$39,SUM(Popn!D$24:D$28)*Tracks!$C$40,SUM(Popn!D$118:D$122)*Tracks!$B$40,SUM(Popn!D$29:D$38)*Tracks!$C$41,SUM(Popn!D$123:D$132)*Tracks!$B$41,SUM(Popn!D$39:D$48)*Tracks!$C$42,SUM(Popn!D$133:D$142)*Tracks!$B$42,SUM(Popn!D$49:D$58)*Tracks!$C$43,SUM(Popn!D$143:D$152)*Tracks!$B$43,SUM(Popn!D$59:D$68)*Tracks!$C$44,SUM(Popn!D$153:D$162)*Tracks!$B$44,SUM(Popn!D$69:D$73)*Tracks!$C$45,SUM(Popn!D$163:D$167)*Tracks!$B$45,SUM(Popn!D$74:D$99)*Tracks!$C$46,SUM(Popn!D$168:D$193)*Tracks!$B$46)/1000000000</f>
        <v>4.6001840191481467</v>
      </c>
      <c r="E96" s="69">
        <f>SUM(SUM(Popn!E$9:E$13)*Tracks!$C$37,SUM(Popn!E$103:E$107)*Tracks!$B$37,SUM(Popn!E$14:E$18)*Tracks!$C$38,SUM(Popn!E$108:E$112)*Tracks!$B$38,SUM(Popn!E$19:E$23)*Tracks!$C$39,SUM(Popn!E$113:E$117)*Tracks!$B$39,SUM(Popn!E$24:E$28)*Tracks!$C$40,SUM(Popn!E$118:E$122)*Tracks!$B$40,SUM(Popn!E$29:E$38)*Tracks!$C$41,SUM(Popn!E$123:E$132)*Tracks!$B$41,SUM(Popn!E$39:E$48)*Tracks!$C$42,SUM(Popn!E$133:E$142)*Tracks!$B$42,SUM(Popn!E$49:E$58)*Tracks!$C$43,SUM(Popn!E$143:E$152)*Tracks!$B$43,SUM(Popn!E$59:E$68)*Tracks!$C$44,SUM(Popn!E$153:E$162)*Tracks!$B$44,SUM(Popn!E$69:E$73)*Tracks!$C$45,SUM(Popn!E$163:E$167)*Tracks!$B$45,SUM(Popn!E$74:E$99)*Tracks!$C$46,SUM(Popn!E$168:E$193)*Tracks!$B$46)/1000000000</f>
        <v>4.6561307828092415</v>
      </c>
      <c r="F96" s="69">
        <f>SUM(SUM(Popn!F$9:F$13)*Tracks!$C$37,SUM(Popn!F$103:F$107)*Tracks!$B$37,SUM(Popn!F$14:F$18)*Tracks!$C$38,SUM(Popn!F$108:F$112)*Tracks!$B$38,SUM(Popn!F$19:F$23)*Tracks!$C$39,SUM(Popn!F$113:F$117)*Tracks!$B$39,SUM(Popn!F$24:F$28)*Tracks!$C$40,SUM(Popn!F$118:F$122)*Tracks!$B$40,SUM(Popn!F$29:F$38)*Tracks!$C$41,SUM(Popn!F$123:F$132)*Tracks!$B$41,SUM(Popn!F$39:F$48)*Tracks!$C$42,SUM(Popn!F$133:F$142)*Tracks!$B$42,SUM(Popn!F$49:F$58)*Tracks!$C$43,SUM(Popn!F$143:F$152)*Tracks!$B$43,SUM(Popn!F$59:F$68)*Tracks!$C$44,SUM(Popn!F$153:F$162)*Tracks!$B$44,SUM(Popn!F$69:F$73)*Tracks!$C$45,SUM(Popn!F$163:F$167)*Tracks!$B$45,SUM(Popn!F$74:F$99)*Tracks!$C$46,SUM(Popn!F$168:F$193)*Tracks!$B$46)/1000000000</f>
        <v>4.716476260389455</v>
      </c>
      <c r="G96" s="69">
        <f>SUM(SUM(Popn!G$9:G$13)*Tracks!$C$37,SUM(Popn!G$103:G$107)*Tracks!$B$37,SUM(Popn!G$14:G$18)*Tracks!$C$38,SUM(Popn!G$108:G$112)*Tracks!$B$38,SUM(Popn!G$19:G$23)*Tracks!$C$39,SUM(Popn!G$113:G$117)*Tracks!$B$39,SUM(Popn!G$24:G$28)*Tracks!$C$40,SUM(Popn!G$118:G$122)*Tracks!$B$40,SUM(Popn!G$29:G$38)*Tracks!$C$41,SUM(Popn!G$123:G$132)*Tracks!$B$41,SUM(Popn!G$39:G$48)*Tracks!$C$42,SUM(Popn!G$133:G$142)*Tracks!$B$42,SUM(Popn!G$49:G$58)*Tracks!$C$43,SUM(Popn!G$143:G$152)*Tracks!$B$43,SUM(Popn!G$59:G$68)*Tracks!$C$44,SUM(Popn!G$153:G$162)*Tracks!$B$44,SUM(Popn!G$69:G$73)*Tracks!$C$45,SUM(Popn!G$163:G$167)*Tracks!$B$45,SUM(Popn!G$74:G$99)*Tracks!$C$46,SUM(Popn!G$168:G$193)*Tracks!$B$46)/1000000000</f>
        <v>4.7802665899396262</v>
      </c>
      <c r="H96" s="69">
        <f>SUM(SUM(Popn!H$9:H$13)*Tracks!$C$37,SUM(Popn!H$103:H$107)*Tracks!$B$37,SUM(Popn!H$14:H$18)*Tracks!$C$38,SUM(Popn!H$108:H$112)*Tracks!$B$38,SUM(Popn!H$19:H$23)*Tracks!$C$39,SUM(Popn!H$113:H$117)*Tracks!$B$39,SUM(Popn!H$24:H$28)*Tracks!$C$40,SUM(Popn!H$118:H$122)*Tracks!$B$40,SUM(Popn!H$29:H$38)*Tracks!$C$41,SUM(Popn!H$123:H$132)*Tracks!$B$41,SUM(Popn!H$39:H$48)*Tracks!$C$42,SUM(Popn!H$133:H$142)*Tracks!$B$42,SUM(Popn!H$49:H$58)*Tracks!$C$43,SUM(Popn!H$143:H$152)*Tracks!$B$43,SUM(Popn!H$59:H$68)*Tracks!$C$44,SUM(Popn!H$153:H$162)*Tracks!$B$44,SUM(Popn!H$69:H$73)*Tracks!$C$45,SUM(Popn!H$163:H$167)*Tracks!$B$45,SUM(Popn!H$74:H$99)*Tracks!$C$46,SUM(Popn!H$168:H$193)*Tracks!$B$46)/1000000000</f>
        <v>4.8310496030539509</v>
      </c>
      <c r="I96" s="69">
        <f>SUM(SUM(Popn!I$9:I$13)*Tracks!$C$37,SUM(Popn!I$103:I$107)*Tracks!$B$37,SUM(Popn!I$14:I$18)*Tracks!$C$38,SUM(Popn!I$108:I$112)*Tracks!$B$38,SUM(Popn!I$19:I$23)*Tracks!$C$39,SUM(Popn!I$113:I$117)*Tracks!$B$39,SUM(Popn!I$24:I$28)*Tracks!$C$40,SUM(Popn!I$118:I$122)*Tracks!$B$40,SUM(Popn!I$29:I$38)*Tracks!$C$41,SUM(Popn!I$123:I$132)*Tracks!$B$41,SUM(Popn!I$39:I$48)*Tracks!$C$42,SUM(Popn!I$133:I$142)*Tracks!$B$42,SUM(Popn!I$49:I$58)*Tracks!$C$43,SUM(Popn!I$143:I$152)*Tracks!$B$43,SUM(Popn!I$59:I$68)*Tracks!$C$44,SUM(Popn!I$153:I$162)*Tracks!$B$44,SUM(Popn!I$69:I$73)*Tracks!$C$45,SUM(Popn!I$163:I$167)*Tracks!$B$45,SUM(Popn!I$74:I$99)*Tracks!$C$46,SUM(Popn!I$168:I$193)*Tracks!$B$46)/1000000000</f>
        <v>4.8668446504595648</v>
      </c>
      <c r="J96" s="103">
        <f>SUM(SUM(Popn!J$9:J$13)*Tracks!$C$37,SUM(Popn!J$103:J$107)*Tracks!$B$37,SUM(Popn!J$14:J$18)*Tracks!$C$38,SUM(Popn!J$108:J$112)*Tracks!$B$38,SUM(Popn!J$19:J$23)*Tracks!$C$39,SUM(Popn!J$113:J$117)*Tracks!$B$39,SUM(Popn!J$24:J$28)*Tracks!$C$40,SUM(Popn!J$118:J$122)*Tracks!$B$40,SUM(Popn!J$29:J$38)*Tracks!$C$41,SUM(Popn!J$123:J$132)*Tracks!$B$41,SUM(Popn!J$39:J$48)*Tracks!$C$42,SUM(Popn!J$133:J$142)*Tracks!$B$42,SUM(Popn!J$49:J$58)*Tracks!$C$43,SUM(Popn!J$143:J$152)*Tracks!$B$43,SUM(Popn!J$59:J$68)*Tracks!$C$44,SUM(Popn!J$153:J$162)*Tracks!$B$44,SUM(Popn!J$69:J$73)*Tracks!$C$45,SUM(Popn!J$163:J$167)*Tracks!$B$45,SUM(Popn!J$74:J$99)*Tracks!$C$46,SUM(Popn!J$168:J$193)*Tracks!$B$46)/1000000000</f>
        <v>4.9054691232775296</v>
      </c>
      <c r="K96" s="103">
        <f>SUM(SUM(Popn!K$9:K$13)*Tracks!$C$37,SUM(Popn!K$103:K$107)*Tracks!$B$37,SUM(Popn!K$14:K$18)*Tracks!$C$38,SUM(Popn!K$108:K$112)*Tracks!$B$38,SUM(Popn!K$19:K$23)*Tracks!$C$39,SUM(Popn!K$113:K$117)*Tracks!$B$39,SUM(Popn!K$24:K$28)*Tracks!$C$40,SUM(Popn!K$118:K$122)*Tracks!$B$40,SUM(Popn!K$29:K$38)*Tracks!$C$41,SUM(Popn!K$123:K$132)*Tracks!$B$41,SUM(Popn!K$39:K$48)*Tracks!$C$42,SUM(Popn!K$133:K$142)*Tracks!$B$42,SUM(Popn!K$49:K$58)*Tracks!$C$43,SUM(Popn!K$143:K$152)*Tracks!$B$43,SUM(Popn!K$59:K$68)*Tracks!$C$44,SUM(Popn!K$153:K$162)*Tracks!$B$44,SUM(Popn!K$69:K$73)*Tracks!$C$45,SUM(Popn!K$163:K$167)*Tracks!$B$45,SUM(Popn!K$74:K$99)*Tracks!$C$46,SUM(Popn!K$168:K$193)*Tracks!$B$46)/1000000000</f>
        <v>4.9498798818934802</v>
      </c>
      <c r="L96" s="103">
        <f>SUM(SUM(Popn!L$9:L$13)*Tracks!$C$37,SUM(Popn!L$103:L$107)*Tracks!$B$37,SUM(Popn!L$14:L$18)*Tracks!$C$38,SUM(Popn!L$108:L$112)*Tracks!$B$38,SUM(Popn!L$19:L$23)*Tracks!$C$39,SUM(Popn!L$113:L$117)*Tracks!$B$39,SUM(Popn!L$24:L$28)*Tracks!$C$40,SUM(Popn!L$118:L$122)*Tracks!$B$40,SUM(Popn!L$29:L$38)*Tracks!$C$41,SUM(Popn!L$123:L$132)*Tracks!$B$41,SUM(Popn!L$39:L$48)*Tracks!$C$42,SUM(Popn!L$133:L$142)*Tracks!$B$42,SUM(Popn!L$49:L$58)*Tracks!$C$43,SUM(Popn!L$143:L$152)*Tracks!$B$43,SUM(Popn!L$59:L$68)*Tracks!$C$44,SUM(Popn!L$153:L$162)*Tracks!$B$44,SUM(Popn!L$69:L$73)*Tracks!$C$45,SUM(Popn!L$163:L$167)*Tracks!$B$45,SUM(Popn!L$74:L$99)*Tracks!$C$46,SUM(Popn!L$168:L$193)*Tracks!$B$46)/1000000000</f>
        <v>4.9978320781983365</v>
      </c>
      <c r="M96" s="103">
        <f>SUM(SUM(Popn!M$9:M$13)*Tracks!$C$37,SUM(Popn!M$103:M$107)*Tracks!$B$37,SUM(Popn!M$14:M$18)*Tracks!$C$38,SUM(Popn!M$108:M$112)*Tracks!$B$38,SUM(Popn!M$19:M$23)*Tracks!$C$39,SUM(Popn!M$113:M$117)*Tracks!$B$39,SUM(Popn!M$24:M$28)*Tracks!$C$40,SUM(Popn!M$118:M$122)*Tracks!$B$40,SUM(Popn!M$29:M$38)*Tracks!$C$41,SUM(Popn!M$123:M$132)*Tracks!$B$41,SUM(Popn!M$39:M$48)*Tracks!$C$42,SUM(Popn!M$133:M$142)*Tracks!$B$42,SUM(Popn!M$49:M$58)*Tracks!$C$43,SUM(Popn!M$143:M$152)*Tracks!$B$43,SUM(Popn!M$59:M$68)*Tracks!$C$44,SUM(Popn!M$153:M$162)*Tracks!$B$44,SUM(Popn!M$69:M$73)*Tracks!$C$45,SUM(Popn!M$163:M$167)*Tracks!$B$45,SUM(Popn!M$74:M$99)*Tracks!$C$46,SUM(Popn!M$168:M$193)*Tracks!$B$46)/1000000000</f>
        <v>5.0451737995606978</v>
      </c>
      <c r="N96" s="103">
        <f>SUM(SUM(Popn!N$9:N$13)*Tracks!$C$37,SUM(Popn!N$103:N$107)*Tracks!$B$37,SUM(Popn!N$14:N$18)*Tracks!$C$38,SUM(Popn!N$108:N$112)*Tracks!$B$38,SUM(Popn!N$19:N$23)*Tracks!$C$39,SUM(Popn!N$113:N$117)*Tracks!$B$39,SUM(Popn!N$24:N$28)*Tracks!$C$40,SUM(Popn!N$118:N$122)*Tracks!$B$40,SUM(Popn!N$29:N$38)*Tracks!$C$41,SUM(Popn!N$123:N$132)*Tracks!$B$41,SUM(Popn!N$39:N$48)*Tracks!$C$42,SUM(Popn!N$133:N$142)*Tracks!$B$42,SUM(Popn!N$49:N$58)*Tracks!$C$43,SUM(Popn!N$143:N$152)*Tracks!$B$43,SUM(Popn!N$59:N$68)*Tracks!$C$44,SUM(Popn!N$153:N$162)*Tracks!$B$44,SUM(Popn!N$69:N$73)*Tracks!$C$45,SUM(Popn!N$163:N$167)*Tracks!$B$45,SUM(Popn!N$74:N$99)*Tracks!$C$46,SUM(Popn!N$168:N$193)*Tracks!$B$46)/1000000000</f>
        <v>5.0907578039356975</v>
      </c>
      <c r="O96" s="73">
        <f>SUM(SUM(Popn!O$9:O$13)*Tracks!$C$37,SUM(Popn!O$103:O$107)*Tracks!$B$37,SUM(Popn!O$14:O$18)*Tracks!$C$38,SUM(Popn!O$108:O$112)*Tracks!$B$38,SUM(Popn!O$19:O$23)*Tracks!$C$39,SUM(Popn!O$113:O$117)*Tracks!$B$39,SUM(Popn!O$24:O$28)*Tracks!$C$40,SUM(Popn!O$118:O$122)*Tracks!$B$40,SUM(Popn!O$29:O$38)*Tracks!$C$41,SUM(Popn!O$123:O$132)*Tracks!$B$41,SUM(Popn!O$39:O$48)*Tracks!$C$42,SUM(Popn!O$133:O$142)*Tracks!$B$42,SUM(Popn!O$49:O$58)*Tracks!$C$43,SUM(Popn!O$143:O$152)*Tracks!$B$43,SUM(Popn!O$59:O$68)*Tracks!$C$44,SUM(Popn!O$153:O$162)*Tracks!$B$44,SUM(Popn!O$69:O$73)*Tracks!$C$45,SUM(Popn!O$163:O$167)*Tracks!$B$45,SUM(Popn!O$74:O$99)*Tracks!$C$46,SUM(Popn!O$168:O$193)*Tracks!$B$46)/1000000000</f>
        <v>5.1369136030481961</v>
      </c>
      <c r="P96" s="73">
        <f>SUM(SUM(Popn!P$9:P$13)*Tracks!$C$37,SUM(Popn!P$103:P$107)*Tracks!$B$37,SUM(Popn!P$14:P$18)*Tracks!$C$38,SUM(Popn!P$108:P$112)*Tracks!$B$38,SUM(Popn!P$19:P$23)*Tracks!$C$39,SUM(Popn!P$113:P$117)*Tracks!$B$39,SUM(Popn!P$24:P$28)*Tracks!$C$40,SUM(Popn!P$118:P$122)*Tracks!$B$40,SUM(Popn!P$29:P$38)*Tracks!$C$41,SUM(Popn!P$123:P$132)*Tracks!$B$41,SUM(Popn!P$39:P$48)*Tracks!$C$42,SUM(Popn!P$133:P$142)*Tracks!$B$42,SUM(Popn!P$49:P$58)*Tracks!$C$43,SUM(Popn!P$143:P$152)*Tracks!$B$43,SUM(Popn!P$59:P$68)*Tracks!$C$44,SUM(Popn!P$153:P$162)*Tracks!$B$44,SUM(Popn!P$69:P$73)*Tracks!$C$45,SUM(Popn!P$163:P$167)*Tracks!$B$45,SUM(Popn!P$74:P$99)*Tracks!$C$46,SUM(Popn!P$168:P$193)*Tracks!$B$46)/1000000000</f>
        <v>5.1833388910048335</v>
      </c>
      <c r="Q96" s="73">
        <f>SUM(SUM(Popn!Q$9:Q$13)*Tracks!$C$37,SUM(Popn!Q$103:Q$107)*Tracks!$B$37,SUM(Popn!Q$14:Q$18)*Tracks!$C$38,SUM(Popn!Q$108:Q$112)*Tracks!$B$38,SUM(Popn!Q$19:Q$23)*Tracks!$C$39,SUM(Popn!Q$113:Q$117)*Tracks!$B$39,SUM(Popn!Q$24:Q$28)*Tracks!$C$40,SUM(Popn!Q$118:Q$122)*Tracks!$B$40,SUM(Popn!Q$29:Q$38)*Tracks!$C$41,SUM(Popn!Q$123:Q$132)*Tracks!$B$41,SUM(Popn!Q$39:Q$48)*Tracks!$C$42,SUM(Popn!Q$133:Q$142)*Tracks!$B$42,SUM(Popn!Q$49:Q$58)*Tracks!$C$43,SUM(Popn!Q$143:Q$152)*Tracks!$B$43,SUM(Popn!Q$59:Q$68)*Tracks!$C$44,SUM(Popn!Q$153:Q$162)*Tracks!$B$44,SUM(Popn!Q$69:Q$73)*Tracks!$C$45,SUM(Popn!Q$163:Q$167)*Tracks!$B$45,SUM(Popn!Q$74:Q$99)*Tracks!$C$46,SUM(Popn!Q$168:Q$193)*Tracks!$B$46)/1000000000</f>
        <v>5.2301521335989749</v>
      </c>
      <c r="R96" s="73">
        <f>SUM(SUM(Popn!R$9:R$13)*Tracks!$C$37,SUM(Popn!R$103:R$107)*Tracks!$B$37,SUM(Popn!R$14:R$18)*Tracks!$C$38,SUM(Popn!R$108:R$112)*Tracks!$B$38,SUM(Popn!R$19:R$23)*Tracks!$C$39,SUM(Popn!R$113:R$117)*Tracks!$B$39,SUM(Popn!R$24:R$28)*Tracks!$C$40,SUM(Popn!R$118:R$122)*Tracks!$B$40,SUM(Popn!R$29:R$38)*Tracks!$C$41,SUM(Popn!R$123:R$132)*Tracks!$B$41,SUM(Popn!R$39:R$48)*Tracks!$C$42,SUM(Popn!R$133:R$142)*Tracks!$B$42,SUM(Popn!R$49:R$58)*Tracks!$C$43,SUM(Popn!R$143:R$152)*Tracks!$B$43,SUM(Popn!R$59:R$68)*Tracks!$C$44,SUM(Popn!R$153:R$162)*Tracks!$B$44,SUM(Popn!R$69:R$73)*Tracks!$C$45,SUM(Popn!R$163:R$167)*Tracks!$B$45,SUM(Popn!R$74:R$99)*Tracks!$C$46,SUM(Popn!R$168:R$193)*Tracks!$B$46)/1000000000</f>
        <v>5.27643153972571</v>
      </c>
      <c r="S96" s="73">
        <f>SUM(SUM(Popn!S$9:S$13)*Tracks!$C$37,SUM(Popn!S$103:S$107)*Tracks!$B$37,SUM(Popn!S$14:S$18)*Tracks!$C$38,SUM(Popn!S$108:S$112)*Tracks!$B$38,SUM(Popn!S$19:S$23)*Tracks!$C$39,SUM(Popn!S$113:S$117)*Tracks!$B$39,SUM(Popn!S$24:S$28)*Tracks!$C$40,SUM(Popn!S$118:S$122)*Tracks!$B$40,SUM(Popn!S$29:S$38)*Tracks!$C$41,SUM(Popn!S$123:S$132)*Tracks!$B$41,SUM(Popn!S$39:S$48)*Tracks!$C$42,SUM(Popn!S$133:S$142)*Tracks!$B$42,SUM(Popn!S$49:S$58)*Tracks!$C$43,SUM(Popn!S$143:S$152)*Tracks!$B$43,SUM(Popn!S$59:S$68)*Tracks!$C$44,SUM(Popn!S$153:S$162)*Tracks!$B$44,SUM(Popn!S$69:S$73)*Tracks!$C$45,SUM(Popn!S$163:S$167)*Tracks!$B$45,SUM(Popn!S$74:S$99)*Tracks!$C$46,SUM(Popn!S$168:S$193)*Tracks!$B$46)/1000000000</f>
        <v>5.3211525649221132</v>
      </c>
      <c r="T96" s="73">
        <f>SUM(SUM(Popn!T$9:T$13)*Tracks!$C$37,SUM(Popn!T$103:T$107)*Tracks!$B$37,SUM(Popn!T$14:T$18)*Tracks!$C$38,SUM(Popn!T$108:T$112)*Tracks!$B$38,SUM(Popn!T$19:T$23)*Tracks!$C$39,SUM(Popn!T$113:T$117)*Tracks!$B$39,SUM(Popn!T$24:T$28)*Tracks!$C$40,SUM(Popn!T$118:T$122)*Tracks!$B$40,SUM(Popn!T$29:T$38)*Tracks!$C$41,SUM(Popn!T$123:T$132)*Tracks!$B$41,SUM(Popn!T$39:T$48)*Tracks!$C$42,SUM(Popn!T$133:T$142)*Tracks!$B$42,SUM(Popn!T$49:T$58)*Tracks!$C$43,SUM(Popn!T$143:T$152)*Tracks!$B$43,SUM(Popn!T$59:T$68)*Tracks!$C$44,SUM(Popn!T$153:T$162)*Tracks!$B$44,SUM(Popn!T$69:T$73)*Tracks!$C$45,SUM(Popn!T$163:T$167)*Tracks!$B$45,SUM(Popn!T$74:T$99)*Tracks!$C$46,SUM(Popn!T$168:T$193)*Tracks!$B$46)/1000000000</f>
        <v>5.3655558031420405</v>
      </c>
      <c r="U96" s="73">
        <f>SUM(SUM(Popn!U$9:U$13)*Tracks!$C$37,SUM(Popn!U$103:U$107)*Tracks!$B$37,SUM(Popn!U$14:U$18)*Tracks!$C$38,SUM(Popn!U$108:U$112)*Tracks!$B$38,SUM(Popn!U$19:U$23)*Tracks!$C$39,SUM(Popn!U$113:U$117)*Tracks!$B$39,SUM(Popn!U$24:U$28)*Tracks!$C$40,SUM(Popn!U$118:U$122)*Tracks!$B$40,SUM(Popn!U$29:U$38)*Tracks!$C$41,SUM(Popn!U$123:U$132)*Tracks!$B$41,SUM(Popn!U$39:U$48)*Tracks!$C$42,SUM(Popn!U$133:U$142)*Tracks!$B$42,SUM(Popn!U$49:U$58)*Tracks!$C$43,SUM(Popn!U$143:U$152)*Tracks!$B$43,SUM(Popn!U$59:U$68)*Tracks!$C$44,SUM(Popn!U$153:U$162)*Tracks!$B$44,SUM(Popn!U$69:U$73)*Tracks!$C$45,SUM(Popn!U$163:U$167)*Tracks!$B$45,SUM(Popn!U$74:U$99)*Tracks!$C$46,SUM(Popn!U$168:U$193)*Tracks!$B$46)/1000000000</f>
        <v>5.4062958383110615</v>
      </c>
      <c r="V96" s="73">
        <f>SUM(SUM(Popn!V$9:V$13)*Tracks!$C$37,SUM(Popn!V$103:V$107)*Tracks!$B$37,SUM(Popn!V$14:V$18)*Tracks!$C$38,SUM(Popn!V$108:V$112)*Tracks!$B$38,SUM(Popn!V$19:V$23)*Tracks!$C$39,SUM(Popn!V$113:V$117)*Tracks!$B$39,SUM(Popn!V$24:V$28)*Tracks!$C$40,SUM(Popn!V$118:V$122)*Tracks!$B$40,SUM(Popn!V$29:V$38)*Tracks!$C$41,SUM(Popn!V$123:V$132)*Tracks!$B$41,SUM(Popn!V$39:V$48)*Tracks!$C$42,SUM(Popn!V$133:V$142)*Tracks!$B$42,SUM(Popn!V$49:V$58)*Tracks!$C$43,SUM(Popn!V$143:V$152)*Tracks!$B$43,SUM(Popn!V$59:V$68)*Tracks!$C$44,SUM(Popn!V$153:V$162)*Tracks!$B$44,SUM(Popn!V$69:V$73)*Tracks!$C$45,SUM(Popn!V$163:V$167)*Tracks!$B$45,SUM(Popn!V$74:V$99)*Tracks!$C$46,SUM(Popn!V$168:V$193)*Tracks!$B$46)/1000000000</f>
        <v>5.4450980153963835</v>
      </c>
      <c r="W96" s="73">
        <f>SUM(SUM(Popn!W$9:W$13)*Tracks!$C$37,SUM(Popn!W$103:W$107)*Tracks!$B$37,SUM(Popn!W$14:W$18)*Tracks!$C$38,SUM(Popn!W$108:W$112)*Tracks!$B$38,SUM(Popn!W$19:W$23)*Tracks!$C$39,SUM(Popn!W$113:W$117)*Tracks!$B$39,SUM(Popn!W$24:W$28)*Tracks!$C$40,SUM(Popn!W$118:W$122)*Tracks!$B$40,SUM(Popn!W$29:W$38)*Tracks!$C$41,SUM(Popn!W$123:W$132)*Tracks!$B$41,SUM(Popn!W$39:W$48)*Tracks!$C$42,SUM(Popn!W$133:W$142)*Tracks!$B$42,SUM(Popn!W$49:W$58)*Tracks!$C$43,SUM(Popn!W$143:W$152)*Tracks!$B$43,SUM(Popn!W$59:W$68)*Tracks!$C$44,SUM(Popn!W$153:W$162)*Tracks!$B$44,SUM(Popn!W$69:W$73)*Tracks!$C$45,SUM(Popn!W$163:W$167)*Tracks!$B$45,SUM(Popn!W$74:W$99)*Tracks!$C$46,SUM(Popn!W$168:W$193)*Tracks!$B$46)/1000000000</f>
        <v>5.4809985389859168</v>
      </c>
      <c r="X96" s="73">
        <f>SUM(SUM(Popn!X$9:X$13)*Tracks!$C$37,SUM(Popn!X$103:X$107)*Tracks!$B$37,SUM(Popn!X$14:X$18)*Tracks!$C$38,SUM(Popn!X$108:X$112)*Tracks!$B$38,SUM(Popn!X$19:X$23)*Tracks!$C$39,SUM(Popn!X$113:X$117)*Tracks!$B$39,SUM(Popn!X$24:X$28)*Tracks!$C$40,SUM(Popn!X$118:X$122)*Tracks!$B$40,SUM(Popn!X$29:X$38)*Tracks!$C$41,SUM(Popn!X$123:X$132)*Tracks!$B$41,SUM(Popn!X$39:X$48)*Tracks!$C$42,SUM(Popn!X$133:X$142)*Tracks!$B$42,SUM(Popn!X$49:X$58)*Tracks!$C$43,SUM(Popn!X$143:X$152)*Tracks!$B$43,SUM(Popn!X$59:X$68)*Tracks!$C$44,SUM(Popn!X$153:X$162)*Tracks!$B$44,SUM(Popn!X$69:X$73)*Tracks!$C$45,SUM(Popn!X$163:X$167)*Tracks!$B$45,SUM(Popn!X$74:X$99)*Tracks!$C$46,SUM(Popn!X$168:X$193)*Tracks!$B$46)/1000000000</f>
        <v>5.5153266659892219</v>
      </c>
    </row>
    <row r="97" spans="1:24" x14ac:dyDescent="0.2">
      <c r="A97" s="106"/>
      <c r="B97" s="3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x14ac:dyDescent="0.2">
      <c r="A98" s="106" t="s">
        <v>897</v>
      </c>
      <c r="B98" s="36"/>
      <c r="C98" s="69"/>
      <c r="D98" s="69"/>
      <c r="E98" s="69"/>
      <c r="F98" s="69"/>
      <c r="G98" s="69"/>
      <c r="H98" s="69"/>
      <c r="I98" s="103"/>
      <c r="J98" s="103"/>
      <c r="K98" s="103"/>
      <c r="L98" s="103"/>
      <c r="M98" s="103"/>
    </row>
    <row r="99" spans="1:24" x14ac:dyDescent="0.2">
      <c r="A99" s="27" t="s">
        <v>898</v>
      </c>
      <c r="B99" s="228"/>
      <c r="C99" s="69"/>
      <c r="D99" s="71">
        <f>Data!C$40</f>
        <v>0.64500000000000002</v>
      </c>
      <c r="E99" s="71">
        <f>Data!D$40</f>
        <v>0.69</v>
      </c>
      <c r="F99" s="71">
        <f>Data!E$40</f>
        <v>0.65500000000000003</v>
      </c>
      <c r="G99" s="71">
        <f>Data!F$40</f>
        <v>0.32800000000000001</v>
      </c>
      <c r="H99" s="71">
        <f>Data!G$40</f>
        <v>0.30499999999999999</v>
      </c>
      <c r="I99" s="71">
        <f>Data!H$40</f>
        <v>0.192</v>
      </c>
      <c r="J99" s="128">
        <f>Data!I$40</f>
        <v>0.27800000000000002</v>
      </c>
      <c r="K99" s="128">
        <f>Data!J$40</f>
        <v>0.27400000000000002</v>
      </c>
      <c r="L99" s="128">
        <f>Data!K$40</f>
        <v>0.30599999999999999</v>
      </c>
      <c r="M99" s="128">
        <f>Data!L$40</f>
        <v>0.34699999999999998</v>
      </c>
      <c r="N99" s="128">
        <f>Data!M$40</f>
        <v>0.38</v>
      </c>
      <c r="O99" s="75">
        <f>N$99*Tracks!S$14/Tracks!R$14</f>
        <v>0.39316397228637412</v>
      </c>
      <c r="P99" s="75">
        <f>O$99*Tracks!T$14/Tracks!S$14</f>
        <v>0.394919168591224</v>
      </c>
      <c r="Q99" s="75">
        <f>P$99*Tracks!U$14/Tracks!T$14</f>
        <v>0.38614318706697459</v>
      </c>
      <c r="R99" s="75">
        <f>Q$99*Tracks!V$14/Tracks!U$14</f>
        <v>0.3756120092378753</v>
      </c>
      <c r="S99" s="75">
        <f>R$99*Tracks!W$14/Tracks!V$14</f>
        <v>0.36244803695150113</v>
      </c>
      <c r="T99" s="75">
        <f>S$99*Tracks!X$14/Tracks!W$14</f>
        <v>0.35630484988452654</v>
      </c>
      <c r="U99" s="75">
        <f>T$99*Tracks!Y$14/Tracks!X$14</f>
        <v>0.35893764434180137</v>
      </c>
      <c r="V99" s="75">
        <f>U$99*Tracks!Z$14/Tracks!Y$14</f>
        <v>0.36069284064665125</v>
      </c>
      <c r="W99" s="75">
        <f>V$99*Tracks!AA$14/Tracks!Z$14</f>
        <v>0.36244803695150118</v>
      </c>
      <c r="X99" s="75">
        <f>W$99*Tracks!AB$14/Tracks!AA$14</f>
        <v>0.36332563510392613</v>
      </c>
    </row>
    <row r="100" spans="1:24" x14ac:dyDescent="0.2">
      <c r="A100" s="27" t="s">
        <v>899</v>
      </c>
      <c r="B100" s="228"/>
      <c r="C100" s="69"/>
      <c r="D100" s="71">
        <f>Data!C$21</f>
        <v>0.64500000000000002</v>
      </c>
      <c r="E100" s="71">
        <f>Data!D$21</f>
        <v>0.69</v>
      </c>
      <c r="F100" s="71">
        <f>Data!E$21</f>
        <v>0.65500000000000003</v>
      </c>
      <c r="G100" s="71">
        <f>Data!F$21</f>
        <v>0.33300000000000002</v>
      </c>
      <c r="H100" s="71">
        <f>Data!G$21</f>
        <v>0.311</v>
      </c>
      <c r="I100" s="71">
        <f>Data!H$21</f>
        <v>0.19700000000000001</v>
      </c>
      <c r="J100" s="128">
        <f>Data!I$21</f>
        <v>0.28699999999999998</v>
      </c>
      <c r="K100" s="128">
        <f>Data!J$21</f>
        <v>0.28299999999999997</v>
      </c>
      <c r="L100" s="128">
        <f>Data!K$21</f>
        <v>0.315</v>
      </c>
      <c r="M100" s="128">
        <f>Data!L$21</f>
        <v>0.35699999999999998</v>
      </c>
      <c r="N100" s="128">
        <f>Data!M$21</f>
        <v>0.39</v>
      </c>
      <c r="O100" s="75">
        <f t="shared" ref="O100:X100" si="50">N$100*O$99/N$99</f>
        <v>0.40351039260969979</v>
      </c>
      <c r="P100" s="75">
        <f t="shared" si="50"/>
        <v>0.40531177829099313</v>
      </c>
      <c r="Q100" s="75">
        <f t="shared" si="50"/>
        <v>0.39630484988452663</v>
      </c>
      <c r="R100" s="75">
        <f t="shared" si="50"/>
        <v>0.38549653579676685</v>
      </c>
      <c r="S100" s="75">
        <f t="shared" si="50"/>
        <v>0.37198614318706702</v>
      </c>
      <c r="T100" s="75">
        <f t="shared" si="50"/>
        <v>0.36568129330254046</v>
      </c>
      <c r="U100" s="75">
        <f t="shared" si="50"/>
        <v>0.36838337182448039</v>
      </c>
      <c r="V100" s="75">
        <f t="shared" si="50"/>
        <v>0.37018475750577373</v>
      </c>
      <c r="W100" s="75">
        <f t="shared" si="50"/>
        <v>0.37198614318706708</v>
      </c>
      <c r="X100" s="75">
        <f t="shared" si="50"/>
        <v>0.37288683602771372</v>
      </c>
    </row>
    <row r="101" spans="1:24" x14ac:dyDescent="0.2">
      <c r="A101" s="28"/>
      <c r="B101" s="40"/>
      <c r="C101" s="69"/>
      <c r="D101" s="73"/>
      <c r="E101" s="73"/>
      <c r="F101" s="73"/>
      <c r="G101" s="73"/>
      <c r="H101" s="73"/>
      <c r="I101" s="73"/>
      <c r="J101" s="73"/>
    </row>
    <row r="102" spans="1:24" x14ac:dyDescent="0.2">
      <c r="A102" s="106" t="s">
        <v>900</v>
      </c>
      <c r="B102" s="77"/>
      <c r="C102" s="69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27" t="s">
        <v>139</v>
      </c>
      <c r="B103" s="228"/>
      <c r="C103" s="69"/>
      <c r="D103" s="71">
        <f>Data!C$41</f>
        <v>10.355</v>
      </c>
      <c r="E103" s="71">
        <f>Data!D$41</f>
        <v>11.297000000000001</v>
      </c>
      <c r="F103" s="71">
        <f>Data!E$41</f>
        <v>12.368</v>
      </c>
      <c r="G103" s="71">
        <f>Data!F$41</f>
        <v>13.128</v>
      </c>
      <c r="H103" s="71">
        <f>Data!G$41</f>
        <v>13.753</v>
      </c>
      <c r="I103" s="71">
        <f>Data!H$41</f>
        <v>14.16</v>
      </c>
      <c r="J103" s="128">
        <f ca="1">Data!I$41 + IF(OFFSET(Scenarios!$A$72,0,$C$1)="Yes",OFFSET(Scenarios!$A$73,0,$C$1)*J$148,0)</f>
        <v>14.526</v>
      </c>
      <c r="K103" s="128">
        <f ca="1">Data!J$41 + IF(OFFSET(Scenarios!$A$72,0,$C$1)="Yes",OFFSET(Scenarios!$A$73,0,$C$1)*K$148,0)</f>
        <v>14.95</v>
      </c>
      <c r="L103" s="128">
        <f ca="1">Data!K$41 + IF(OFFSET(Scenarios!$A$72,0,$C$1)="Yes",OFFSET(Scenarios!$A$73,0,$C$1)*L$148,0)</f>
        <v>14.88</v>
      </c>
      <c r="M103" s="128">
        <f ca="1">Data!L$41 + IF(OFFSET(Scenarios!$A$72,0,$C$1)="Yes",OFFSET(Scenarios!$A$73,0,$C$1)*M$148,0)</f>
        <v>14.91</v>
      </c>
      <c r="N103" s="128">
        <f ca="1">Data!M$41 + IF(OFFSET(Scenarios!$A$72,0,$C$1)="Yes",OFFSET(Scenarios!$A$73,0,$C$1)*N$148,0)</f>
        <v>14.888</v>
      </c>
      <c r="O103" s="75">
        <f ca="1">N$103 +IF(OFFSET(Scenarios!$A$72,0,$C$1)="Yes",(O$148-N$148)*OFFSET(Scenarios!$A$73,0,$C$1),0)</f>
        <v>14.888</v>
      </c>
      <c r="P103" s="75">
        <f ca="1">O$103 +IF(OFFSET(Scenarios!$A$72,0,$C$1)="Yes",(P$148-O$148)*OFFSET(Scenarios!$A$73,0,$C$1),0)</f>
        <v>14.888</v>
      </c>
      <c r="Q103" s="75">
        <f ca="1">P$103 +IF(OFFSET(Scenarios!$A$72,0,$C$1)="Yes",(Q$148-P$148)*OFFSET(Scenarios!$A$73,0,$C$1),0)</f>
        <v>14.888</v>
      </c>
      <c r="R103" s="75">
        <f ca="1">Q$103 +IF(OFFSET(Scenarios!$A$72,0,$C$1)="Yes",(R$148-Q$148)*OFFSET(Scenarios!$A$73,0,$C$1),0)</f>
        <v>14.888</v>
      </c>
      <c r="S103" s="75">
        <f ca="1">R$103 +IF(OFFSET(Scenarios!$A$72,0,$C$1)="Yes",(S$148-R$148)*OFFSET(Scenarios!$A$73,0,$C$1),0)</f>
        <v>14.888</v>
      </c>
      <c r="T103" s="75">
        <f ca="1">S$103 +IF(OFFSET(Scenarios!$A$72,0,$C$1)="Yes",(T$148-S$148)*OFFSET(Scenarios!$A$73,0,$C$1),0)</f>
        <v>14.888</v>
      </c>
      <c r="U103" s="75">
        <f ca="1">T$103 +IF(OFFSET(Scenarios!$A$72,0,$C$1)="Yes",(U$148-T$148)*OFFSET(Scenarios!$A$73,0,$C$1),0)</f>
        <v>14.888</v>
      </c>
      <c r="V103" s="75">
        <f ca="1">U$103 +IF(OFFSET(Scenarios!$A$72,0,$C$1)="Yes",(V$148-U$148)*OFFSET(Scenarios!$A$73,0,$C$1),0)</f>
        <v>14.888</v>
      </c>
      <c r="W103" s="75">
        <f ca="1">V$103 +IF(OFFSET(Scenarios!$A$72,0,$C$1)="Yes",(W$148-V$148)*OFFSET(Scenarios!$A$73,0,$C$1),0)</f>
        <v>14.888</v>
      </c>
      <c r="X103" s="75">
        <f ca="1">W$103 +IF(OFFSET(Scenarios!$A$72,0,$C$1)="Yes",(X$148-W$148)*OFFSET(Scenarios!$A$73,0,$C$1),0)</f>
        <v>14.888</v>
      </c>
    </row>
    <row r="104" spans="1:24" x14ac:dyDescent="0.2">
      <c r="A104" s="27" t="s">
        <v>140</v>
      </c>
      <c r="B104" s="228"/>
      <c r="C104" s="69"/>
      <c r="D104" s="71">
        <f>Data!C$22</f>
        <v>10.661</v>
      </c>
      <c r="E104" s="71">
        <f>Data!D$22</f>
        <v>10.808999999999999</v>
      </c>
      <c r="F104" s="71">
        <f>Data!E$22</f>
        <v>12.042</v>
      </c>
      <c r="G104" s="71">
        <f>Data!F$22</f>
        <v>12.673</v>
      </c>
      <c r="H104" s="71">
        <f>Data!G$22</f>
        <v>13.068</v>
      </c>
      <c r="I104" s="71">
        <f>Data!H$22</f>
        <v>13.65</v>
      </c>
      <c r="J104" s="128">
        <f ca="1">Data!I$22 + IF(OFFSET(Scenarios!$A$72,0,$C$1)="Yes",OFFSET(Scenarios!$A$73,0,$C$1)*J$148,0)</f>
        <v>13.895</v>
      </c>
      <c r="K104" s="128">
        <f ca="1">Data!J$22 + IF(OFFSET(Scenarios!$A$72,0,$C$1)="Yes",OFFSET(Scenarios!$A$73,0,$C$1)*K$148,0)</f>
        <v>14.351000000000001</v>
      </c>
      <c r="L104" s="128">
        <f ca="1">Data!K$22 + IF(OFFSET(Scenarios!$A$72,0,$C$1)="Yes",OFFSET(Scenarios!$A$73,0,$C$1)*L$148,0)</f>
        <v>14.237</v>
      </c>
      <c r="M104" s="128">
        <f ca="1">Data!L$22 + IF(OFFSET(Scenarios!$A$72,0,$C$1)="Yes",OFFSET(Scenarios!$A$73,0,$C$1)*M$148,0)</f>
        <v>14.21</v>
      </c>
      <c r="N104" s="128">
        <f ca="1">Data!M$22 + IF(OFFSET(Scenarios!$A$72,0,$C$1)="Yes",OFFSET(Scenarios!$A$73,0,$C$1)*N$148,0)</f>
        <v>14.074999999999999</v>
      </c>
      <c r="O104" s="75">
        <f t="shared" ref="O104:X104" ca="1" si="51">SUM(O$103,(N$104-N$103)*SUM(O$105,O$106)/SUM(N$105,N$106))</f>
        <v>14.061819591844406</v>
      </c>
      <c r="P104" s="75">
        <f t="shared" ca="1" si="51"/>
        <v>14.048239665208872</v>
      </c>
      <c r="Q104" s="75">
        <f t="shared" ca="1" si="51"/>
        <v>14.034304617317726</v>
      </c>
      <c r="R104" s="75">
        <f t="shared" ca="1" si="51"/>
        <v>14.019809421853024</v>
      </c>
      <c r="S104" s="75">
        <f t="shared" ca="1" si="51"/>
        <v>14.004568447969199</v>
      </c>
      <c r="T104" s="75">
        <f t="shared" ca="1" si="51"/>
        <v>13.989867558345354</v>
      </c>
      <c r="U104" s="75">
        <f t="shared" ca="1" si="51"/>
        <v>13.97482576588275</v>
      </c>
      <c r="V104" s="75">
        <f t="shared" ca="1" si="51"/>
        <v>13.959490520372205</v>
      </c>
      <c r="W104" s="75">
        <f t="shared" ca="1" si="51"/>
        <v>13.94377422720636</v>
      </c>
      <c r="X104" s="75">
        <f t="shared" ca="1" si="51"/>
        <v>13.927559305438828</v>
      </c>
    </row>
    <row r="105" spans="1:24" x14ac:dyDescent="0.2">
      <c r="A105" s="106" t="s">
        <v>901</v>
      </c>
      <c r="B105" s="77"/>
      <c r="C105" s="69"/>
      <c r="D105" s="69">
        <f>SUM(SUM(Popn!D$9:D$13)*Tracks!$M$51,SUM(Popn!D$14:D$18)*Tracks!$M$52,SUM(Popn!D$19:D$23)*Tracks!$M$53,SUM(Popn!D$24:D$28)*Tracks!$M$54,SUM(Popn!D$29:D$33)*Tracks!$M$55,SUM(Popn!D$34:D$38)*Tracks!$M$56,SUM(Popn!D$39:D$43)*Tracks!$M$57,SUM(Popn!D$44:D$48)*Tracks!$M$58,SUM(Popn!D$49:D$53)*Tracks!$M$59,SUM(Popn!D$54:D$58)*Tracks!$M$60,SUM(Popn!D$59:D$63)*Tracks!$M$61,SUM(Popn!D$64:D$68)*Tracks!$M$62,SUM(Popn!D$69:D$73)*Tracks!$M$63,SUM(Popn!D$74:D$78)*Tracks!$M$64,SUM(Popn!D$79:D$83)*Tracks!$M$65,SUM(Popn!D$84:D$88)*Tracks!$M$66,SUM(Popn!D$89:D$93)*Tracks!$M$67,SUM(Popn!D$94:D$99)*Tracks!$M$68)/1000000000</f>
        <v>5.3512811944888492</v>
      </c>
      <c r="E105" s="69">
        <f>SUM(SUM(Popn!E$9:E$13)*Tracks!$M$51,SUM(Popn!E$14:E$18)*Tracks!$M$52,SUM(Popn!E$19:E$23)*Tracks!$M$53,SUM(Popn!E$24:E$28)*Tracks!$M$54,SUM(Popn!E$29:E$33)*Tracks!$M$55,SUM(Popn!E$34:E$38)*Tracks!$M$56,SUM(Popn!E$39:E$43)*Tracks!$M$57,SUM(Popn!E$44:E$48)*Tracks!$M$58,SUM(Popn!E$49:E$53)*Tracks!$M$59,SUM(Popn!E$54:E$58)*Tracks!$M$60,SUM(Popn!E$59:E$63)*Tracks!$M$61,SUM(Popn!E$64:E$68)*Tracks!$M$62,SUM(Popn!E$69:E$73)*Tracks!$M$63,SUM(Popn!E$74:E$78)*Tracks!$M$64,SUM(Popn!E$79:E$83)*Tracks!$M$65,SUM(Popn!E$84:E$88)*Tracks!$M$66,SUM(Popn!E$89:E$93)*Tracks!$M$67,SUM(Popn!E$94:E$99)*Tracks!$M$68)/1000000000</f>
        <v>5.4502066558101818</v>
      </c>
      <c r="F105" s="69">
        <f>SUM(SUM(Popn!F$9:F$13)*Tracks!$M$51,SUM(Popn!F$14:F$18)*Tracks!$M$52,SUM(Popn!F$19:F$23)*Tracks!$M$53,SUM(Popn!F$24:F$28)*Tracks!$M$54,SUM(Popn!F$29:F$33)*Tracks!$M$55,SUM(Popn!F$34:F$38)*Tracks!$M$56,SUM(Popn!F$39:F$43)*Tracks!$M$57,SUM(Popn!F$44:F$48)*Tracks!$M$58,SUM(Popn!F$49:F$53)*Tracks!$M$59,SUM(Popn!F$54:F$58)*Tracks!$M$60,SUM(Popn!F$59:F$63)*Tracks!$M$61,SUM(Popn!F$64:F$68)*Tracks!$M$62,SUM(Popn!F$69:F$73)*Tracks!$M$63,SUM(Popn!F$74:F$78)*Tracks!$M$64,SUM(Popn!F$79:F$83)*Tracks!$M$65,SUM(Popn!F$84:F$88)*Tracks!$M$66,SUM(Popn!F$89:F$93)*Tracks!$M$67,SUM(Popn!F$94:F$99)*Tracks!$M$68)/1000000000</f>
        <v>5.5566730000704831</v>
      </c>
      <c r="G105" s="69">
        <f>SUM(SUM(Popn!G$9:G$13)*Tracks!$M$51,SUM(Popn!G$14:G$18)*Tracks!$M$52,SUM(Popn!G$19:G$23)*Tracks!$M$53,SUM(Popn!G$24:G$28)*Tracks!$M$54,SUM(Popn!G$29:G$33)*Tracks!$M$55,SUM(Popn!G$34:G$38)*Tracks!$M$56,SUM(Popn!G$39:G$43)*Tracks!$M$57,SUM(Popn!G$44:G$48)*Tracks!$M$58,SUM(Popn!G$49:G$53)*Tracks!$M$59,SUM(Popn!G$54:G$58)*Tracks!$M$60,SUM(Popn!G$59:G$63)*Tracks!$M$61,SUM(Popn!G$64:G$68)*Tracks!$M$62,SUM(Popn!G$69:G$73)*Tracks!$M$63,SUM(Popn!G$74:G$78)*Tracks!$M$64,SUM(Popn!G$79:G$83)*Tracks!$M$65,SUM(Popn!G$84:G$88)*Tracks!$M$66,SUM(Popn!G$89:G$93)*Tracks!$M$67,SUM(Popn!G$94:G$99)*Tracks!$M$68)/1000000000</f>
        <v>5.6705807791341387</v>
      </c>
      <c r="H105" s="69">
        <f>SUM(SUM(Popn!H$9:H$13)*Tracks!$M$51,SUM(Popn!H$14:H$18)*Tracks!$M$52,SUM(Popn!H$19:H$23)*Tracks!$M$53,SUM(Popn!H$24:H$28)*Tracks!$M$54,SUM(Popn!H$29:H$33)*Tracks!$M$55,SUM(Popn!H$34:H$38)*Tracks!$M$56,SUM(Popn!H$39:H$43)*Tracks!$M$57,SUM(Popn!H$44:H$48)*Tracks!$M$58,SUM(Popn!H$49:H$53)*Tracks!$M$59,SUM(Popn!H$54:H$58)*Tracks!$M$60,SUM(Popn!H$59:H$63)*Tracks!$M$61,SUM(Popn!H$64:H$68)*Tracks!$M$62,SUM(Popn!H$69:H$73)*Tracks!$M$63,SUM(Popn!H$74:H$78)*Tracks!$M$64,SUM(Popn!H$79:H$83)*Tracks!$M$65,SUM(Popn!H$84:H$88)*Tracks!$M$66,SUM(Popn!H$89:H$93)*Tracks!$M$67,SUM(Popn!H$94:H$99)*Tracks!$M$68)/1000000000</f>
        <v>5.7730808470554829</v>
      </c>
      <c r="I105" s="69">
        <f>SUM(SUM(Popn!I$9:I$13)*Tracks!$M$51,SUM(Popn!I$14:I$18)*Tracks!$M$52,SUM(Popn!I$19:I$23)*Tracks!$M$53,SUM(Popn!I$24:I$28)*Tracks!$M$54,SUM(Popn!I$29:I$33)*Tracks!$M$55,SUM(Popn!I$34:I$38)*Tracks!$M$56,SUM(Popn!I$39:I$43)*Tracks!$M$57,SUM(Popn!I$44:I$48)*Tracks!$M$58,SUM(Popn!I$49:I$53)*Tracks!$M$59,SUM(Popn!I$54:I$58)*Tracks!$M$60,SUM(Popn!I$59:I$63)*Tracks!$M$61,SUM(Popn!I$64:I$68)*Tracks!$M$62,SUM(Popn!I$69:I$73)*Tracks!$M$63,SUM(Popn!I$74:I$78)*Tracks!$M$64,SUM(Popn!I$79:I$83)*Tracks!$M$65,SUM(Popn!I$84:I$88)*Tracks!$M$66,SUM(Popn!I$89:I$93)*Tracks!$M$67,SUM(Popn!I$94:I$99)*Tracks!$M$68)/1000000000</f>
        <v>5.862708853456077</v>
      </c>
      <c r="J105" s="123">
        <f>SUM(SUM(Popn!J$9:J$13)*Tracks!$M$51,SUM(Popn!J$14:J$18)*Tracks!$M$52,SUM(Popn!J$19:J$23)*Tracks!$M$53,SUM(Popn!J$24:J$28)*Tracks!$M$54,SUM(Popn!J$29:J$33)*Tracks!$M$55,SUM(Popn!J$34:J$38)*Tracks!$M$56,SUM(Popn!J$39:J$43)*Tracks!$M$57,SUM(Popn!J$44:J$48)*Tracks!$M$58,SUM(Popn!J$49:J$53)*Tracks!$M$59,SUM(Popn!J$54:J$58)*Tracks!$M$60,SUM(Popn!J$59:J$63)*Tracks!$M$61,SUM(Popn!J$64:J$68)*Tracks!$M$62,SUM(Popn!J$69:J$73)*Tracks!$M$63,SUM(Popn!J$74:J$78)*Tracks!$M$64,SUM(Popn!J$79:J$83)*Tracks!$M$65,SUM(Popn!J$84:J$88)*Tracks!$M$66,SUM(Popn!J$89:J$93)*Tracks!$M$67,SUM(Popn!J$94:J$99)*Tracks!$M$68)/1000000000</f>
        <v>5.9482735755428484</v>
      </c>
      <c r="K105" s="123">
        <f>SUM(SUM(Popn!K$9:K$13)*Tracks!$M$51,SUM(Popn!K$14:K$18)*Tracks!$M$52,SUM(Popn!K$19:K$23)*Tracks!$M$53,SUM(Popn!K$24:K$28)*Tracks!$M$54,SUM(Popn!K$29:K$33)*Tracks!$M$55,SUM(Popn!K$34:K$38)*Tracks!$M$56,SUM(Popn!K$39:K$43)*Tracks!$M$57,SUM(Popn!K$44:K$48)*Tracks!$M$58,SUM(Popn!K$49:K$53)*Tracks!$M$59,SUM(Popn!K$54:K$58)*Tracks!$M$60,SUM(Popn!K$59:K$63)*Tracks!$M$61,SUM(Popn!K$64:K$68)*Tracks!$M$62,SUM(Popn!K$69:K$73)*Tracks!$M$63,SUM(Popn!K$74:K$78)*Tracks!$M$64,SUM(Popn!K$79:K$83)*Tracks!$M$65,SUM(Popn!K$84:K$88)*Tracks!$M$66,SUM(Popn!K$89:K$93)*Tracks!$M$67,SUM(Popn!K$94:K$99)*Tracks!$M$68)/1000000000</f>
        <v>6.0439881977269927</v>
      </c>
      <c r="L105" s="123">
        <f>SUM(SUM(Popn!L$9:L$13)*Tracks!$M$51,SUM(Popn!L$14:L$18)*Tracks!$M$52,SUM(Popn!L$19:L$23)*Tracks!$M$53,SUM(Popn!L$24:L$28)*Tracks!$M$54,SUM(Popn!L$29:L$33)*Tracks!$M$55,SUM(Popn!L$34:L$38)*Tracks!$M$56,SUM(Popn!L$39:L$43)*Tracks!$M$57,SUM(Popn!L$44:L$48)*Tracks!$M$58,SUM(Popn!L$49:L$53)*Tracks!$M$59,SUM(Popn!L$54:L$58)*Tracks!$M$60,SUM(Popn!L$59:L$63)*Tracks!$M$61,SUM(Popn!L$64:L$68)*Tracks!$M$62,SUM(Popn!L$69:L$73)*Tracks!$M$63,SUM(Popn!L$74:L$78)*Tracks!$M$64,SUM(Popn!L$79:L$83)*Tracks!$M$65,SUM(Popn!L$84:L$88)*Tracks!$M$66,SUM(Popn!L$89:L$93)*Tracks!$M$67,SUM(Popn!L$94:L$99)*Tracks!$M$68)/1000000000</f>
        <v>6.147319006912296</v>
      </c>
      <c r="M105" s="123">
        <f>SUM(SUM(Popn!M$9:M$13)*Tracks!$M$51,SUM(Popn!M$14:M$18)*Tracks!$M$52,SUM(Popn!M$19:M$23)*Tracks!$M$53,SUM(Popn!M$24:M$28)*Tracks!$M$54,SUM(Popn!M$29:M$33)*Tracks!$M$55,SUM(Popn!M$34:M$38)*Tracks!$M$56,SUM(Popn!M$39:M$43)*Tracks!$M$57,SUM(Popn!M$44:M$48)*Tracks!$M$58,SUM(Popn!M$49:M$53)*Tracks!$M$59,SUM(Popn!M$54:M$58)*Tracks!$M$60,SUM(Popn!M$59:M$63)*Tracks!$M$61,SUM(Popn!M$64:M$68)*Tracks!$M$62,SUM(Popn!M$69:M$73)*Tracks!$M$63,SUM(Popn!M$74:M$78)*Tracks!$M$64,SUM(Popn!M$79:M$83)*Tracks!$M$65,SUM(Popn!M$84:M$88)*Tracks!$M$66,SUM(Popn!M$89:M$93)*Tracks!$M$67,SUM(Popn!M$94:M$99)*Tracks!$M$68)/1000000000</f>
        <v>6.2553434505376835</v>
      </c>
      <c r="N105" s="123">
        <f>SUM(SUM(Popn!N$9:N$13)*Tracks!$M$51,SUM(Popn!N$14:N$18)*Tracks!$M$52,SUM(Popn!N$19:N$23)*Tracks!$M$53,SUM(Popn!N$24:N$28)*Tracks!$M$54,SUM(Popn!N$29:N$33)*Tracks!$M$55,SUM(Popn!N$34:N$38)*Tracks!$M$56,SUM(Popn!N$39:N$43)*Tracks!$M$57,SUM(Popn!N$44:N$48)*Tracks!$M$58,SUM(Popn!N$49:N$53)*Tracks!$M$59,SUM(Popn!N$54:N$58)*Tracks!$M$60,SUM(Popn!N$59:N$63)*Tracks!$M$61,SUM(Popn!N$64:N$68)*Tracks!$M$62,SUM(Popn!N$69:N$73)*Tracks!$M$63,SUM(Popn!N$74:N$78)*Tracks!$M$64,SUM(Popn!N$79:N$83)*Tracks!$M$65,SUM(Popn!N$84:N$88)*Tracks!$M$66,SUM(Popn!N$89:N$93)*Tracks!$M$67,SUM(Popn!N$94:N$99)*Tracks!$M$68)/1000000000</f>
        <v>6.3686053296043381</v>
      </c>
      <c r="O105" s="73">
        <f>SUM(SUM(Popn!O$9:O$13)*Tracks!$M$51,SUM(Popn!O$14:O$18)*Tracks!$M$52,SUM(Popn!O$19:O$23)*Tracks!$M$53,SUM(Popn!O$24:O$28)*Tracks!$M$54,SUM(Popn!O$29:O$33)*Tracks!$M$55,SUM(Popn!O$34:O$38)*Tracks!$M$56,SUM(Popn!O$39:O$43)*Tracks!$M$57,SUM(Popn!O$44:O$48)*Tracks!$M$58,SUM(Popn!O$49:O$53)*Tracks!$M$59,SUM(Popn!O$54:O$58)*Tracks!$M$60,SUM(Popn!O$59:O$63)*Tracks!$M$61,SUM(Popn!O$64:O$68)*Tracks!$M$62,SUM(Popn!O$69:O$73)*Tracks!$M$63,SUM(Popn!O$74:O$78)*Tracks!$M$64,SUM(Popn!O$79:O$83)*Tracks!$M$65,SUM(Popn!O$84:O$88)*Tracks!$M$66,SUM(Popn!O$89:O$93)*Tracks!$M$67,SUM(Popn!O$94:O$99)*Tracks!$M$68)/1000000000</f>
        <v>6.4774838947864852</v>
      </c>
      <c r="P105" s="73">
        <f>SUM(SUM(Popn!P$9:P$13)*Tracks!$M$51,SUM(Popn!P$14:P$18)*Tracks!$M$52,SUM(Popn!P$19:P$23)*Tracks!$M$53,SUM(Popn!P$24:P$28)*Tracks!$M$54,SUM(Popn!P$29:P$33)*Tracks!$M$55,SUM(Popn!P$34:P$38)*Tracks!$M$56,SUM(Popn!P$39:P$43)*Tracks!$M$57,SUM(Popn!P$44:P$48)*Tracks!$M$58,SUM(Popn!P$49:P$53)*Tracks!$M$59,SUM(Popn!P$54:P$58)*Tracks!$M$60,SUM(Popn!P$59:P$63)*Tracks!$M$61,SUM(Popn!P$64:P$68)*Tracks!$M$62,SUM(Popn!P$69:P$73)*Tracks!$M$63,SUM(Popn!P$74:P$78)*Tracks!$M$64,SUM(Popn!P$79:P$83)*Tracks!$M$65,SUM(Popn!P$84:P$88)*Tracks!$M$66,SUM(Popn!P$89:P$93)*Tracks!$M$67,SUM(Popn!P$94:P$99)*Tracks!$M$68)/1000000000</f>
        <v>6.5898776576918232</v>
      </c>
      <c r="Q105" s="73">
        <f>SUM(SUM(Popn!Q$9:Q$13)*Tracks!$M$51,SUM(Popn!Q$14:Q$18)*Tracks!$M$52,SUM(Popn!Q$19:Q$23)*Tracks!$M$53,SUM(Popn!Q$24:Q$28)*Tracks!$M$54,SUM(Popn!Q$29:Q$33)*Tracks!$M$55,SUM(Popn!Q$34:Q$38)*Tracks!$M$56,SUM(Popn!Q$39:Q$43)*Tracks!$M$57,SUM(Popn!Q$44:Q$48)*Tracks!$M$58,SUM(Popn!Q$49:Q$53)*Tracks!$M$59,SUM(Popn!Q$54:Q$58)*Tracks!$M$60,SUM(Popn!Q$59:Q$63)*Tracks!$M$61,SUM(Popn!Q$64:Q$68)*Tracks!$M$62,SUM(Popn!Q$69:Q$73)*Tracks!$M$63,SUM(Popn!Q$74:Q$78)*Tracks!$M$64,SUM(Popn!Q$79:Q$83)*Tracks!$M$65,SUM(Popn!Q$84:Q$88)*Tracks!$M$66,SUM(Popn!Q$89:Q$93)*Tracks!$M$67,SUM(Popn!Q$94:Q$99)*Tracks!$M$68)/1000000000</f>
        <v>6.7041134371777504</v>
      </c>
      <c r="R105" s="73">
        <f>SUM(SUM(Popn!R$9:R$13)*Tracks!$M$51,SUM(Popn!R$14:R$18)*Tracks!$M$52,SUM(Popn!R$19:R$23)*Tracks!$M$53,SUM(Popn!R$24:R$28)*Tracks!$M$54,SUM(Popn!R$29:R$33)*Tracks!$M$55,SUM(Popn!R$34:R$38)*Tracks!$M$56,SUM(Popn!R$39:R$43)*Tracks!$M$57,SUM(Popn!R$44:R$48)*Tracks!$M$58,SUM(Popn!R$49:R$53)*Tracks!$M$59,SUM(Popn!R$54:R$58)*Tracks!$M$60,SUM(Popn!R$59:R$63)*Tracks!$M$61,SUM(Popn!R$64:R$68)*Tracks!$M$62,SUM(Popn!R$69:R$73)*Tracks!$M$63,SUM(Popn!R$74:R$78)*Tracks!$M$64,SUM(Popn!R$79:R$83)*Tracks!$M$65,SUM(Popn!R$84:R$88)*Tracks!$M$66,SUM(Popn!R$89:R$93)*Tracks!$M$67,SUM(Popn!R$94:R$99)*Tracks!$M$68)/1000000000</f>
        <v>6.8209835367241407</v>
      </c>
      <c r="S105" s="73">
        <f>SUM(SUM(Popn!S$9:S$13)*Tracks!$M$51,SUM(Popn!S$14:S$18)*Tracks!$M$52,SUM(Popn!S$19:S$23)*Tracks!$M$53,SUM(Popn!S$24:S$28)*Tracks!$M$54,SUM(Popn!S$29:S$33)*Tracks!$M$55,SUM(Popn!S$34:S$38)*Tracks!$M$56,SUM(Popn!S$39:S$43)*Tracks!$M$57,SUM(Popn!S$44:S$48)*Tracks!$M$58,SUM(Popn!S$49:S$53)*Tracks!$M$59,SUM(Popn!S$54:S$58)*Tracks!$M$60,SUM(Popn!S$59:S$63)*Tracks!$M$61,SUM(Popn!S$64:S$68)*Tracks!$M$62,SUM(Popn!S$69:S$73)*Tracks!$M$63,SUM(Popn!S$74:S$78)*Tracks!$M$64,SUM(Popn!S$79:S$83)*Tracks!$M$65,SUM(Popn!S$84:S$88)*Tracks!$M$66,SUM(Popn!S$89:S$93)*Tracks!$M$67,SUM(Popn!S$94:S$99)*Tracks!$M$68)/1000000000</f>
        <v>6.9428410084229615</v>
      </c>
      <c r="T105" s="73">
        <f>SUM(SUM(Popn!T$9:T$13)*Tracks!$M$51,SUM(Popn!T$14:T$18)*Tracks!$M$52,SUM(Popn!T$19:T$23)*Tracks!$M$53,SUM(Popn!T$24:T$28)*Tracks!$M$54,SUM(Popn!T$29:T$33)*Tracks!$M$55,SUM(Popn!T$34:T$38)*Tracks!$M$56,SUM(Popn!T$39:T$43)*Tracks!$M$57,SUM(Popn!T$44:T$48)*Tracks!$M$58,SUM(Popn!T$49:T$53)*Tracks!$M$59,SUM(Popn!T$54:T$58)*Tracks!$M$60,SUM(Popn!T$59:T$63)*Tracks!$M$61,SUM(Popn!T$64:T$68)*Tracks!$M$62,SUM(Popn!T$69:T$73)*Tracks!$M$63,SUM(Popn!T$74:T$78)*Tracks!$M$64,SUM(Popn!T$79:T$83)*Tracks!$M$65,SUM(Popn!T$84:T$88)*Tracks!$M$66,SUM(Popn!T$89:T$93)*Tracks!$M$67,SUM(Popn!T$94:T$99)*Tracks!$M$68)/1000000000</f>
        <v>7.0601842833039088</v>
      </c>
      <c r="U105" s="73">
        <f>SUM(SUM(Popn!U$9:U$13)*Tracks!$M$51,SUM(Popn!U$14:U$18)*Tracks!$M$52,SUM(Popn!U$19:U$23)*Tracks!$M$53,SUM(Popn!U$24:U$28)*Tracks!$M$54,SUM(Popn!U$29:U$33)*Tracks!$M$55,SUM(Popn!U$34:U$38)*Tracks!$M$56,SUM(Popn!U$39:U$43)*Tracks!$M$57,SUM(Popn!U$44:U$48)*Tracks!$M$58,SUM(Popn!U$49:U$53)*Tracks!$M$59,SUM(Popn!U$54:U$58)*Tracks!$M$60,SUM(Popn!U$59:U$63)*Tracks!$M$61,SUM(Popn!U$64:U$68)*Tracks!$M$62,SUM(Popn!U$69:U$73)*Tracks!$M$63,SUM(Popn!U$74:U$78)*Tracks!$M$64,SUM(Popn!U$79:U$83)*Tracks!$M$65,SUM(Popn!U$84:U$88)*Tracks!$M$66,SUM(Popn!U$89:U$93)*Tracks!$M$67,SUM(Popn!U$94:U$99)*Tracks!$M$68)/1000000000</f>
        <v>7.1792427383463329</v>
      </c>
      <c r="V105" s="73">
        <f>SUM(SUM(Popn!V$9:V$13)*Tracks!$M$51,SUM(Popn!V$14:V$18)*Tracks!$M$52,SUM(Popn!V$19:V$23)*Tracks!$M$53,SUM(Popn!V$24:V$28)*Tracks!$M$54,SUM(Popn!V$29:V$33)*Tracks!$M$55,SUM(Popn!V$34:V$38)*Tracks!$M$56,SUM(Popn!V$39:V$43)*Tracks!$M$57,SUM(Popn!V$44:V$48)*Tracks!$M$58,SUM(Popn!V$49:V$53)*Tracks!$M$59,SUM(Popn!V$54:V$58)*Tracks!$M$60,SUM(Popn!V$59:V$63)*Tracks!$M$61,SUM(Popn!V$64:V$68)*Tracks!$M$62,SUM(Popn!V$69:V$73)*Tracks!$M$63,SUM(Popn!V$74:V$78)*Tracks!$M$64,SUM(Popn!V$79:V$83)*Tracks!$M$65,SUM(Popn!V$84:V$88)*Tracks!$M$66,SUM(Popn!V$89:V$93)*Tracks!$M$67,SUM(Popn!V$94:V$99)*Tracks!$M$68)/1000000000</f>
        <v>7.2988385743542823</v>
      </c>
      <c r="W105" s="73">
        <f>SUM(SUM(Popn!W$9:W$13)*Tracks!$M$51,SUM(Popn!W$14:W$18)*Tracks!$M$52,SUM(Popn!W$19:W$23)*Tracks!$M$53,SUM(Popn!W$24:W$28)*Tracks!$M$54,SUM(Popn!W$29:W$33)*Tracks!$M$55,SUM(Popn!W$34:W$38)*Tracks!$M$56,SUM(Popn!W$39:W$43)*Tracks!$M$57,SUM(Popn!W$44:W$48)*Tracks!$M$58,SUM(Popn!W$49:W$53)*Tracks!$M$59,SUM(Popn!W$54:W$58)*Tracks!$M$60,SUM(Popn!W$59:W$63)*Tracks!$M$61,SUM(Popn!W$64:W$68)*Tracks!$M$62,SUM(Popn!W$69:W$73)*Tracks!$M$63,SUM(Popn!W$74:W$78)*Tracks!$M$64,SUM(Popn!W$79:W$83)*Tracks!$M$65,SUM(Popn!W$84:W$88)*Tracks!$M$66,SUM(Popn!W$89:W$93)*Tracks!$M$67,SUM(Popn!W$94:W$99)*Tracks!$M$68)/1000000000</f>
        <v>7.419781360596521</v>
      </c>
      <c r="X105" s="73">
        <f>SUM(SUM(Popn!X$9:X$13)*Tracks!$M$51,SUM(Popn!X$14:X$18)*Tracks!$M$52,SUM(Popn!X$19:X$23)*Tracks!$M$53,SUM(Popn!X$24:X$28)*Tracks!$M$54,SUM(Popn!X$29:X$33)*Tracks!$M$55,SUM(Popn!X$34:X$38)*Tracks!$M$56,SUM(Popn!X$39:X$43)*Tracks!$M$57,SUM(Popn!X$44:X$48)*Tracks!$M$58,SUM(Popn!X$49:X$53)*Tracks!$M$59,SUM(Popn!X$54:X$58)*Tracks!$M$60,SUM(Popn!X$59:X$63)*Tracks!$M$61,SUM(Popn!X$64:X$68)*Tracks!$M$62,SUM(Popn!X$69:X$73)*Tracks!$M$63,SUM(Popn!X$74:X$78)*Tracks!$M$64,SUM(Popn!X$79:X$83)*Tracks!$M$65,SUM(Popn!X$84:X$88)*Tracks!$M$66,SUM(Popn!X$89:X$93)*Tracks!$M$67,SUM(Popn!X$94:X$99)*Tracks!$M$68)/1000000000</f>
        <v>7.5433253379933749</v>
      </c>
    </row>
    <row r="106" spans="1:24" x14ac:dyDescent="0.2">
      <c r="A106" s="106" t="s">
        <v>902</v>
      </c>
      <c r="B106" s="77"/>
      <c r="C106" s="69"/>
      <c r="D106" s="87">
        <f>SUM(SUM(Popn!D$103:D$107)*Tracks!$L$51,SUM(Popn!D$108:D$112)*Tracks!$L$52,SUM(Popn!D$113:D$117)*Tracks!$L$53,SUM(Popn!D$118:D$122)*Tracks!$L$54,SUM(Popn!D$123:D$127)*Tracks!$L$55,SUM(Popn!D$128:D$132)*Tracks!$L$56,SUM(Popn!D$133:D$137)*Tracks!$L$57,SUM(Popn!D$138:D$142)*Tracks!$L$58,SUM(Popn!D$143:D$147)*Tracks!$L$59,SUM(Popn!D$148:D$152)*Tracks!$L$60,SUM(Popn!D$153:D$157)*Tracks!$L$61,SUM(Popn!D$158:D$162)*Tracks!$L$62,SUM(Popn!D$163:D$167)*Tracks!$L$63,SUM(Popn!D$168:D$172)*Tracks!$L$64,SUM(Popn!D$173:D$177)*Tracks!$L$65,SUM(Popn!D$178:D$182)*Tracks!$L$66,SUM(Popn!D$183:D$187)*Tracks!$L$67,SUM(Popn!D$188:D$193)*Tracks!$L$68)/1000000000</f>
        <v>6.3158688215335683</v>
      </c>
      <c r="E106" s="87">
        <f>SUM(SUM(Popn!E$103:E$107)*Tracks!$L$51,SUM(Popn!E$108:E$112)*Tracks!$L$52,SUM(Popn!E$113:E$117)*Tracks!$L$53,SUM(Popn!E$118:E$122)*Tracks!$L$54,SUM(Popn!E$123:E$127)*Tracks!$L$55,SUM(Popn!E$128:E$132)*Tracks!$L$56,SUM(Popn!E$133:E$137)*Tracks!$L$57,SUM(Popn!E$138:E$142)*Tracks!$L$58,SUM(Popn!E$143:E$147)*Tracks!$L$59,SUM(Popn!E$148:E$152)*Tracks!$L$60,SUM(Popn!E$153:E$157)*Tracks!$L$61,SUM(Popn!E$158:E$162)*Tracks!$L$62,SUM(Popn!E$163:E$167)*Tracks!$L$63,SUM(Popn!E$168:E$172)*Tracks!$L$64,SUM(Popn!E$173:E$177)*Tracks!$L$65,SUM(Popn!E$178:E$182)*Tracks!$L$66,SUM(Popn!E$183:E$187)*Tracks!$L$67,SUM(Popn!E$188:E$193)*Tracks!$L$68)/1000000000</f>
        <v>6.4082597726025421</v>
      </c>
      <c r="F106" s="87">
        <f>SUM(SUM(Popn!F$103:F$107)*Tracks!$L$51,SUM(Popn!F$108:F$112)*Tracks!$L$52,SUM(Popn!F$113:F$117)*Tracks!$L$53,SUM(Popn!F$118:F$122)*Tracks!$L$54,SUM(Popn!F$123:F$127)*Tracks!$L$55,SUM(Popn!F$128:F$132)*Tracks!$L$56,SUM(Popn!F$133:F$137)*Tracks!$L$57,SUM(Popn!F$138:F$142)*Tracks!$L$58,SUM(Popn!F$143:F$147)*Tracks!$L$59,SUM(Popn!F$148:F$152)*Tracks!$L$60,SUM(Popn!F$153:F$157)*Tracks!$L$61,SUM(Popn!F$158:F$162)*Tracks!$L$62,SUM(Popn!F$163:F$167)*Tracks!$L$63,SUM(Popn!F$168:F$172)*Tracks!$L$64,SUM(Popn!F$173:F$177)*Tracks!$L$65,SUM(Popn!F$178:F$182)*Tracks!$L$66,SUM(Popn!F$183:F$187)*Tracks!$L$67,SUM(Popn!F$188:F$193)*Tracks!$L$68)/1000000000</f>
        <v>6.5047757118957161</v>
      </c>
      <c r="G106" s="87">
        <f>SUM(SUM(Popn!G$103:G$107)*Tracks!$L$51,SUM(Popn!G$108:G$112)*Tracks!$L$52,SUM(Popn!G$113:G$117)*Tracks!$L$53,SUM(Popn!G$118:G$122)*Tracks!$L$54,SUM(Popn!G$123:G$127)*Tracks!$L$55,SUM(Popn!G$128:G$132)*Tracks!$L$56,SUM(Popn!G$133:G$137)*Tracks!$L$57,SUM(Popn!G$138:G$142)*Tracks!$L$58,SUM(Popn!G$143:G$147)*Tracks!$L$59,SUM(Popn!G$148:G$152)*Tracks!$L$60,SUM(Popn!G$153:G$157)*Tracks!$L$61,SUM(Popn!G$158:G$162)*Tracks!$L$62,SUM(Popn!G$163:G$167)*Tracks!$L$63,SUM(Popn!G$168:G$172)*Tracks!$L$64,SUM(Popn!G$173:G$177)*Tracks!$L$65,SUM(Popn!G$178:G$182)*Tracks!$L$66,SUM(Popn!G$183:G$187)*Tracks!$L$67,SUM(Popn!G$188:G$193)*Tracks!$L$68)/1000000000</f>
        <v>6.616916150555415</v>
      </c>
      <c r="H106" s="87">
        <f>SUM(SUM(Popn!H$103:H$107)*Tracks!$L$51,SUM(Popn!H$108:H$112)*Tracks!$L$52,SUM(Popn!H$113:H$117)*Tracks!$L$53,SUM(Popn!H$118:H$122)*Tracks!$L$54,SUM(Popn!H$123:H$127)*Tracks!$L$55,SUM(Popn!H$128:H$132)*Tracks!$L$56,SUM(Popn!H$133:H$137)*Tracks!$L$57,SUM(Popn!H$138:H$142)*Tracks!$L$58,SUM(Popn!H$143:H$147)*Tracks!$L$59,SUM(Popn!H$148:H$152)*Tracks!$L$60,SUM(Popn!H$153:H$157)*Tracks!$L$61,SUM(Popn!H$158:H$162)*Tracks!$L$62,SUM(Popn!H$163:H$167)*Tracks!$L$63,SUM(Popn!H$168:H$172)*Tracks!$L$64,SUM(Popn!H$173:H$177)*Tracks!$L$65,SUM(Popn!H$178:H$182)*Tracks!$L$66,SUM(Popn!H$183:H$187)*Tracks!$L$67,SUM(Popn!H$188:H$193)*Tracks!$L$68)/1000000000</f>
        <v>6.7096638322406195</v>
      </c>
      <c r="I106" s="87">
        <f>SUM(SUM(Popn!I$103:I$107)*Tracks!$L$51,SUM(Popn!I$108:I$112)*Tracks!$L$52,SUM(Popn!I$113:I$117)*Tracks!$L$53,SUM(Popn!I$118:I$122)*Tracks!$L$54,SUM(Popn!I$123:I$127)*Tracks!$L$55,SUM(Popn!I$128:I$132)*Tracks!$L$56,SUM(Popn!I$133:I$137)*Tracks!$L$57,SUM(Popn!I$138:I$142)*Tracks!$L$58,SUM(Popn!I$143:I$147)*Tracks!$L$59,SUM(Popn!I$148:I$152)*Tracks!$L$60,SUM(Popn!I$153:I$157)*Tracks!$L$61,SUM(Popn!I$158:I$162)*Tracks!$L$62,SUM(Popn!I$163:I$167)*Tracks!$L$63,SUM(Popn!I$168:I$172)*Tracks!$L$64,SUM(Popn!I$173:I$177)*Tracks!$L$65,SUM(Popn!I$178:I$182)*Tracks!$L$66,SUM(Popn!I$183:I$187)*Tracks!$L$67,SUM(Popn!I$188:I$193)*Tracks!$L$68)/1000000000</f>
        <v>6.7907833884660826</v>
      </c>
      <c r="J106" s="126">
        <f>SUM(SUM(Popn!J$103:J$107)*Tracks!$L$51,SUM(Popn!J$108:J$112)*Tracks!$L$52,SUM(Popn!J$113:J$117)*Tracks!$L$53,SUM(Popn!J$118:J$122)*Tracks!$L$54,SUM(Popn!J$123:J$127)*Tracks!$L$55,SUM(Popn!J$128:J$132)*Tracks!$L$56,SUM(Popn!J$133:J$137)*Tracks!$L$57,SUM(Popn!J$138:J$142)*Tracks!$L$58,SUM(Popn!J$143:J$147)*Tracks!$L$59,SUM(Popn!J$148:J$152)*Tracks!$L$60,SUM(Popn!J$153:J$157)*Tracks!$L$61,SUM(Popn!J$158:J$162)*Tracks!$L$62,SUM(Popn!J$163:J$167)*Tracks!$L$63,SUM(Popn!J$168:J$172)*Tracks!$L$64,SUM(Popn!J$173:J$177)*Tracks!$L$65,SUM(Popn!J$178:J$182)*Tracks!$L$66,SUM(Popn!J$183:J$187)*Tracks!$L$67,SUM(Popn!J$188:J$193)*Tracks!$L$68)/1000000000</f>
        <v>6.8733049444812835</v>
      </c>
      <c r="K106" s="126">
        <f>SUM(SUM(Popn!K$103:K$107)*Tracks!$L$51,SUM(Popn!K$108:K$112)*Tracks!$L$52,SUM(Popn!K$113:K$117)*Tracks!$L$53,SUM(Popn!K$118:K$122)*Tracks!$L$54,SUM(Popn!K$123:K$127)*Tracks!$L$55,SUM(Popn!K$128:K$132)*Tracks!$L$56,SUM(Popn!K$133:K$137)*Tracks!$L$57,SUM(Popn!K$138:K$142)*Tracks!$L$58,SUM(Popn!K$143:K$147)*Tracks!$L$59,SUM(Popn!K$148:K$152)*Tracks!$L$60,SUM(Popn!K$153:K$157)*Tracks!$L$61,SUM(Popn!K$158:K$162)*Tracks!$L$62,SUM(Popn!K$163:K$167)*Tracks!$L$63,SUM(Popn!K$168:K$172)*Tracks!$L$64,SUM(Popn!K$173:K$177)*Tracks!$L$65,SUM(Popn!K$178:K$182)*Tracks!$L$66,SUM(Popn!K$183:K$187)*Tracks!$L$67,SUM(Popn!K$188:K$193)*Tracks!$L$68)/1000000000</f>
        <v>6.9659323654276983</v>
      </c>
      <c r="L106" s="126">
        <f>SUM(SUM(Popn!L$103:L$107)*Tracks!$L$51,SUM(Popn!L$108:L$112)*Tracks!$L$52,SUM(Popn!L$113:L$117)*Tracks!$L$53,SUM(Popn!L$118:L$122)*Tracks!$L$54,SUM(Popn!L$123:L$127)*Tracks!$L$55,SUM(Popn!L$128:L$132)*Tracks!$L$56,SUM(Popn!L$133:L$137)*Tracks!$L$57,SUM(Popn!L$138:L$142)*Tracks!$L$58,SUM(Popn!L$143:L$147)*Tracks!$L$59,SUM(Popn!L$148:L$152)*Tracks!$L$60,SUM(Popn!L$153:L$157)*Tracks!$L$61,SUM(Popn!L$158:L$162)*Tracks!$L$62,SUM(Popn!L$163:L$167)*Tracks!$L$63,SUM(Popn!L$168:L$172)*Tracks!$L$64,SUM(Popn!L$173:L$177)*Tracks!$L$65,SUM(Popn!L$178:L$182)*Tracks!$L$66,SUM(Popn!L$183:L$187)*Tracks!$L$67,SUM(Popn!L$188:L$193)*Tracks!$L$68)/1000000000</f>
        <v>7.0694358262752059</v>
      </c>
      <c r="M106" s="126">
        <f>SUM(SUM(Popn!M$103:M$107)*Tracks!$L$51,SUM(Popn!M$108:M$112)*Tracks!$L$52,SUM(Popn!M$113:M$117)*Tracks!$L$53,SUM(Popn!M$118:M$122)*Tracks!$L$54,SUM(Popn!M$123:M$127)*Tracks!$L$55,SUM(Popn!M$128:M$132)*Tracks!$L$56,SUM(Popn!M$133:M$137)*Tracks!$L$57,SUM(Popn!M$138:M$142)*Tracks!$L$58,SUM(Popn!M$143:M$147)*Tracks!$L$59,SUM(Popn!M$148:M$152)*Tracks!$L$60,SUM(Popn!M$153:M$157)*Tracks!$L$61,SUM(Popn!M$158:M$162)*Tracks!$L$62,SUM(Popn!M$163:M$167)*Tracks!$L$63,SUM(Popn!M$168:M$172)*Tracks!$L$64,SUM(Popn!M$173:M$177)*Tracks!$L$65,SUM(Popn!M$178:M$182)*Tracks!$L$66,SUM(Popn!M$183:M$187)*Tracks!$L$67,SUM(Popn!M$188:M$193)*Tracks!$L$68)/1000000000</f>
        <v>7.1791809094054129</v>
      </c>
      <c r="N106" s="126">
        <f>SUM(SUM(Popn!N$103:N$107)*Tracks!$L$51,SUM(Popn!N$108:N$112)*Tracks!$L$52,SUM(Popn!N$113:N$117)*Tracks!$L$53,SUM(Popn!N$118:N$122)*Tracks!$L$54,SUM(Popn!N$123:N$127)*Tracks!$L$55,SUM(Popn!N$128:N$132)*Tracks!$L$56,SUM(Popn!N$133:N$137)*Tracks!$L$57,SUM(Popn!N$138:N$142)*Tracks!$L$58,SUM(Popn!N$143:N$147)*Tracks!$L$59,SUM(Popn!N$148:N$152)*Tracks!$L$60,SUM(Popn!N$153:N$157)*Tracks!$L$61,SUM(Popn!N$158:N$162)*Tracks!$L$62,SUM(Popn!N$163:N$167)*Tracks!$L$63,SUM(Popn!N$168:N$172)*Tracks!$L$64,SUM(Popn!N$173:N$177)*Tracks!$L$65,SUM(Popn!N$178:N$182)*Tracks!$L$66,SUM(Popn!N$183:N$187)*Tracks!$L$67,SUM(Popn!N$188:N$193)*Tracks!$L$68)/1000000000</f>
        <v>7.2938678968936808</v>
      </c>
      <c r="O106" s="98">
        <f>SUM(SUM(Popn!O$103:O$107)*Tracks!$L$51,SUM(Popn!O$108:O$112)*Tracks!$L$52,SUM(Popn!O$113:O$117)*Tracks!$L$53,SUM(Popn!O$118:O$122)*Tracks!$L$54,SUM(Popn!O$123:O$127)*Tracks!$L$55,SUM(Popn!O$128:O$132)*Tracks!$L$56,SUM(Popn!O$133:O$137)*Tracks!$L$57,SUM(Popn!O$138:O$142)*Tracks!$L$58,SUM(Popn!O$143:O$147)*Tracks!$L$59,SUM(Popn!O$148:O$152)*Tracks!$L$60,SUM(Popn!O$153:O$157)*Tracks!$L$61,SUM(Popn!O$158:O$162)*Tracks!$L$62,SUM(Popn!O$163:O$167)*Tracks!$L$63,SUM(Popn!O$168:O$172)*Tracks!$L$64,SUM(Popn!O$173:O$177)*Tracks!$L$65,SUM(Popn!O$178:O$182)*Tracks!$L$66,SUM(Popn!O$183:O$187)*Tracks!$L$67,SUM(Popn!O$188:O$193)*Tracks!$L$68)/1000000000</f>
        <v>7.4064862241347926</v>
      </c>
      <c r="P106" s="98">
        <f>SUM(SUM(Popn!P$103:P$107)*Tracks!$L$51,SUM(Popn!P$108:P$112)*Tracks!$L$52,SUM(Popn!P$113:P$117)*Tracks!$L$53,SUM(Popn!P$118:P$122)*Tracks!$L$54,SUM(Popn!P$123:P$127)*Tracks!$L$55,SUM(Popn!P$128:P$132)*Tracks!$L$56,SUM(Popn!P$133:P$137)*Tracks!$L$57,SUM(Popn!P$138:P$142)*Tracks!$L$58,SUM(Popn!P$143:P$147)*Tracks!$L$59,SUM(Popn!P$148:P$152)*Tracks!$L$60,SUM(Popn!P$153:P$157)*Tracks!$L$61,SUM(Popn!P$158:P$162)*Tracks!$L$62,SUM(Popn!P$163:P$167)*Tracks!$L$63,SUM(Popn!P$168:P$172)*Tracks!$L$64,SUM(Popn!P$173:P$177)*Tracks!$L$65,SUM(Popn!P$178:P$182)*Tracks!$L$66,SUM(Popn!P$183:P$187)*Tracks!$L$67,SUM(Popn!P$188:P$193)*Tracks!$L$68)/1000000000</f>
        <v>7.5223032657507192</v>
      </c>
      <c r="Q106" s="98">
        <f>SUM(SUM(Popn!Q$103:Q$107)*Tracks!$L$51,SUM(Popn!Q$108:Q$112)*Tracks!$L$52,SUM(Popn!Q$113:Q$117)*Tracks!$L$53,SUM(Popn!Q$118:Q$122)*Tracks!$L$54,SUM(Popn!Q$123:Q$127)*Tracks!$L$55,SUM(Popn!Q$128:Q$132)*Tracks!$L$56,SUM(Popn!Q$133:Q$137)*Tracks!$L$57,SUM(Popn!Q$138:Q$142)*Tracks!$L$58,SUM(Popn!Q$143:Q$147)*Tracks!$L$59,SUM(Popn!Q$148:Q$152)*Tracks!$L$60,SUM(Popn!Q$153:Q$157)*Tracks!$L$61,SUM(Popn!Q$158:Q$162)*Tracks!$L$62,SUM(Popn!Q$163:Q$167)*Tracks!$L$63,SUM(Popn!Q$168:Q$172)*Tracks!$L$64,SUM(Popn!Q$173:Q$177)*Tracks!$L$65,SUM(Popn!Q$178:Q$182)*Tracks!$L$66,SUM(Popn!Q$183:Q$187)*Tracks!$L$67,SUM(Popn!Q$188:Q$193)*Tracks!$L$68)/1000000000</f>
        <v>7.642246107079969</v>
      </c>
      <c r="R106" s="98">
        <f>SUM(SUM(Popn!R$103:R$107)*Tracks!$L$51,SUM(Popn!R$108:R$112)*Tracks!$L$52,SUM(Popn!R$113:R$117)*Tracks!$L$53,SUM(Popn!R$118:R$122)*Tracks!$L$54,SUM(Popn!R$123:R$127)*Tracks!$L$55,SUM(Popn!R$128:R$132)*Tracks!$L$56,SUM(Popn!R$133:R$137)*Tracks!$L$57,SUM(Popn!R$138:R$142)*Tracks!$L$58,SUM(Popn!R$143:R$147)*Tracks!$L$59,SUM(Popn!R$148:R$152)*Tracks!$L$60,SUM(Popn!R$153:R$157)*Tracks!$L$61,SUM(Popn!R$158:R$162)*Tracks!$L$62,SUM(Popn!R$163:R$167)*Tracks!$L$63,SUM(Popn!R$168:R$172)*Tracks!$L$64,SUM(Popn!R$173:R$177)*Tracks!$L$65,SUM(Popn!R$178:R$182)*Tracks!$L$66,SUM(Popn!R$183:R$187)*Tracks!$L$67,SUM(Popn!R$188:R$193)*Tracks!$L$68)/1000000000</f>
        <v>7.7689679139903305</v>
      </c>
      <c r="S106" s="98">
        <f>SUM(SUM(Popn!S$103:S$107)*Tracks!$L$51,SUM(Popn!S$108:S$112)*Tracks!$L$52,SUM(Popn!S$113:S$117)*Tracks!$L$53,SUM(Popn!S$118:S$122)*Tracks!$L$54,SUM(Popn!S$123:S$127)*Tracks!$L$55,SUM(Popn!S$128:S$132)*Tracks!$L$56,SUM(Popn!S$133:S$137)*Tracks!$L$57,SUM(Popn!S$138:S$142)*Tracks!$L$58,SUM(Popn!S$143:S$147)*Tracks!$L$59,SUM(Popn!S$148:S$152)*Tracks!$L$60,SUM(Popn!S$153:S$157)*Tracks!$L$61,SUM(Popn!S$158:S$162)*Tracks!$L$62,SUM(Popn!S$163:S$167)*Tracks!$L$63,SUM(Popn!S$168:S$172)*Tracks!$L$64,SUM(Popn!S$173:S$177)*Tracks!$L$65,SUM(Popn!S$178:S$182)*Tracks!$L$66,SUM(Popn!S$183:S$187)*Tracks!$L$67,SUM(Popn!S$188:S$193)*Tracks!$L$68)/1000000000</f>
        <v>7.903235162627956</v>
      </c>
      <c r="T106" s="98">
        <f>SUM(SUM(Popn!T$103:T$107)*Tracks!$L$51,SUM(Popn!T$108:T$112)*Tracks!$L$52,SUM(Popn!T$113:T$117)*Tracks!$L$53,SUM(Popn!T$118:T$122)*Tracks!$L$54,SUM(Popn!T$123:T$127)*Tracks!$L$55,SUM(Popn!T$128:T$132)*Tracks!$L$56,SUM(Popn!T$133:T$137)*Tracks!$L$57,SUM(Popn!T$138:T$142)*Tracks!$L$58,SUM(Popn!T$143:T$147)*Tracks!$L$59,SUM(Popn!T$148:T$152)*Tracks!$L$60,SUM(Popn!T$153:T$157)*Tracks!$L$61,SUM(Popn!T$158:T$162)*Tracks!$L$62,SUM(Popn!T$163:T$167)*Tracks!$L$63,SUM(Popn!T$168:T$172)*Tracks!$L$64,SUM(Popn!T$173:T$177)*Tracks!$L$65,SUM(Popn!T$178:T$182)*Tracks!$L$66,SUM(Popn!T$183:T$187)*Tracks!$L$67,SUM(Popn!T$188:T$193)*Tracks!$L$68)/1000000000</f>
        <v>8.0329404866295047</v>
      </c>
      <c r="U106" s="98">
        <f>SUM(SUM(Popn!U$103:U$107)*Tracks!$L$51,SUM(Popn!U$108:U$112)*Tracks!$L$52,SUM(Popn!U$113:U$117)*Tracks!$L$53,SUM(Popn!U$118:U$122)*Tracks!$L$54,SUM(Popn!U$123:U$127)*Tracks!$L$55,SUM(Popn!U$128:U$132)*Tracks!$L$56,SUM(Popn!U$133:U$137)*Tracks!$L$57,SUM(Popn!U$138:U$142)*Tracks!$L$58,SUM(Popn!U$143:U$147)*Tracks!$L$59,SUM(Popn!U$148:U$152)*Tracks!$L$60,SUM(Popn!U$153:U$157)*Tracks!$L$61,SUM(Popn!U$158:U$162)*Tracks!$L$62,SUM(Popn!U$163:U$167)*Tracks!$L$63,SUM(Popn!U$168:U$172)*Tracks!$L$64,SUM(Popn!U$173:U$177)*Tracks!$L$65,SUM(Popn!U$178:U$182)*Tracks!$L$66,SUM(Popn!U$183:U$187)*Tracks!$L$67,SUM(Popn!U$188:U$193)*Tracks!$L$68)/1000000000</f>
        <v>8.1666595061244411</v>
      </c>
      <c r="V106" s="98">
        <f>SUM(SUM(Popn!V$103:V$107)*Tracks!$L$51,SUM(Popn!V$108:V$112)*Tracks!$L$52,SUM(Popn!V$113:V$117)*Tracks!$L$53,SUM(Popn!V$118:V$122)*Tracks!$L$54,SUM(Popn!V$123:V$127)*Tracks!$L$55,SUM(Popn!V$128:V$132)*Tracks!$L$56,SUM(Popn!V$133:V$137)*Tracks!$L$57,SUM(Popn!V$138:V$142)*Tracks!$L$58,SUM(Popn!V$143:V$147)*Tracks!$L$59,SUM(Popn!V$148:V$152)*Tracks!$L$60,SUM(Popn!V$153:V$157)*Tracks!$L$61,SUM(Popn!V$158:V$162)*Tracks!$L$62,SUM(Popn!V$163:V$167)*Tracks!$L$63,SUM(Popn!V$168:V$172)*Tracks!$L$64,SUM(Popn!V$173:V$177)*Tracks!$L$65,SUM(Popn!V$178:V$182)*Tracks!$L$66,SUM(Popn!V$183:V$187)*Tracks!$L$67,SUM(Popn!V$188:V$193)*Tracks!$L$68)/1000000000</f>
        <v>8.3047726260938752</v>
      </c>
      <c r="W106" s="98">
        <f>SUM(SUM(Popn!W$103:W$107)*Tracks!$L$51,SUM(Popn!W$108:W$112)*Tracks!$L$52,SUM(Popn!W$113:W$117)*Tracks!$L$53,SUM(Popn!W$118:W$122)*Tracks!$L$54,SUM(Popn!W$123:W$127)*Tracks!$L$55,SUM(Popn!W$128:W$132)*Tracks!$L$56,SUM(Popn!W$133:W$137)*Tracks!$L$57,SUM(Popn!W$138:W$142)*Tracks!$L$58,SUM(Popn!W$143:W$147)*Tracks!$L$59,SUM(Popn!W$148:W$152)*Tracks!$L$60,SUM(Popn!W$153:W$157)*Tracks!$L$61,SUM(Popn!W$158:W$162)*Tracks!$L$62,SUM(Popn!W$163:W$167)*Tracks!$L$63,SUM(Popn!W$168:W$172)*Tracks!$L$64,SUM(Popn!W$173:W$177)*Tracks!$L$65,SUM(Popn!W$178:W$182)*Tracks!$L$66,SUM(Popn!W$183:W$187)*Tracks!$L$67,SUM(Popn!W$188:W$193)*Tracks!$L$68)/1000000000</f>
        <v>8.4479423055320204</v>
      </c>
      <c r="X106" s="98">
        <f>SUM(SUM(Popn!X$103:X$107)*Tracks!$L$51,SUM(Popn!X$108:X$112)*Tracks!$L$52,SUM(Popn!X$113:X$117)*Tracks!$L$53,SUM(Popn!X$118:X$122)*Tracks!$L$54,SUM(Popn!X$123:X$127)*Tracks!$L$55,SUM(Popn!X$128:X$132)*Tracks!$L$56,SUM(Popn!X$133:X$137)*Tracks!$L$57,SUM(Popn!X$138:X$142)*Tracks!$L$58,SUM(Popn!X$143:X$147)*Tracks!$L$59,SUM(Popn!X$148:X$152)*Tracks!$L$60,SUM(Popn!X$153:X$157)*Tracks!$L$61,SUM(Popn!X$158:X$162)*Tracks!$L$62,SUM(Popn!X$163:X$167)*Tracks!$L$63,SUM(Popn!X$168:X$172)*Tracks!$L$64,SUM(Popn!X$173:X$177)*Tracks!$L$65,SUM(Popn!X$178:X$182)*Tracks!$L$66,SUM(Popn!X$183:X$187)*Tracks!$L$67,SUM(Popn!X$188:X$193)*Tracks!$L$68)/1000000000</f>
        <v>8.5968902525123703</v>
      </c>
    </row>
    <row r="107" spans="1:24" x14ac:dyDescent="0.2">
      <c r="A107" s="106"/>
      <c r="B107" s="77"/>
      <c r="C107" s="69"/>
      <c r="D107" s="69"/>
      <c r="E107" s="69"/>
      <c r="F107" s="69"/>
      <c r="G107" s="69"/>
      <c r="H107" s="69"/>
      <c r="I107" s="73"/>
      <c r="J107" s="73"/>
    </row>
    <row r="108" spans="1:24" x14ac:dyDescent="0.2">
      <c r="A108" s="106" t="s">
        <v>904</v>
      </c>
      <c r="B108" s="77"/>
      <c r="C108" s="69"/>
      <c r="D108" s="69"/>
      <c r="E108" s="69"/>
      <c r="F108" s="69"/>
      <c r="G108" s="69"/>
      <c r="H108" s="69"/>
      <c r="I108" s="73"/>
      <c r="J108" s="73"/>
    </row>
    <row r="109" spans="1:24" x14ac:dyDescent="0.2">
      <c r="A109" s="31" t="s">
        <v>894</v>
      </c>
      <c r="B109" s="228"/>
      <c r="C109" s="69"/>
      <c r="D109" s="69">
        <f>Data!C$150</f>
        <v>0.38200000000000001</v>
      </c>
      <c r="E109" s="69">
        <f>Data!D$150</f>
        <v>0.38600000000000001</v>
      </c>
      <c r="F109" s="69">
        <f>Data!E$150</f>
        <v>0.44400000000000001</v>
      </c>
      <c r="G109" s="69">
        <f>Data!F$150</f>
        <v>0.56999999999999995</v>
      </c>
      <c r="H109" s="69">
        <f>Data!G$150</f>
        <v>0.62</v>
      </c>
      <c r="I109" s="69">
        <f>Data!H$150</f>
        <v>0.64400000000000002</v>
      </c>
      <c r="J109" s="123">
        <f>Data!I$150</f>
        <v>0.59199999999999997</v>
      </c>
      <c r="K109" s="123">
        <f>Data!J$150</f>
        <v>0.57399999999999995</v>
      </c>
      <c r="L109" s="123">
        <f>Data!K$150</f>
        <v>0.53600000000000003</v>
      </c>
      <c r="M109" s="123">
        <f>Data!L$150</f>
        <v>0.52900000000000003</v>
      </c>
      <c r="N109" s="123">
        <f>Data!M$150</f>
        <v>0.52800000000000002</v>
      </c>
      <c r="O109" s="73">
        <f ca="1">N$109*(1+O$247)*(1+Popn!O$200)</f>
        <v>0.53515633483658909</v>
      </c>
      <c r="P109" s="73">
        <f ca="1">O$109*(1+P$247)*(1+Popn!P$200)</f>
        <v>0.5416530683505536</v>
      </c>
      <c r="Q109" s="73">
        <f ca="1">P$109*(1+Q$247)*(1+Popn!Q$200)</f>
        <v>0.54512198979285686</v>
      </c>
      <c r="R109" s="73">
        <f ca="1">Q$109*(1+R$247)*(1+Popn!R$200)</f>
        <v>0.55016372838389882</v>
      </c>
      <c r="S109" s="73">
        <f ca="1">R$109*(1+S$247)*(1+Popn!S$200)</f>
        <v>0.55956158030276437</v>
      </c>
      <c r="T109" s="73">
        <f ca="1">S$109*(1+T$247)*(1+Popn!T$200)</f>
        <v>0.56871588297732634</v>
      </c>
      <c r="U109" s="73">
        <f ca="1">T$109*(1+U$247)*(1+Popn!U$200)</f>
        <v>0.58112224462882955</v>
      </c>
      <c r="V109" s="73">
        <f ca="1">U$109*(1+V$247)*(1+Popn!V$200)</f>
        <v>0.59486391038173181</v>
      </c>
      <c r="W109" s="73">
        <f ca="1">V$109*(1+W$247)*(1+Popn!W$200)</f>
        <v>0.6136981048721657</v>
      </c>
      <c r="X109" s="73">
        <f ca="1">W$109*(1+X$247)*(1+Popn!X$200)</f>
        <v>0.63486347001119137</v>
      </c>
    </row>
    <row r="110" spans="1:24" x14ac:dyDescent="0.2">
      <c r="A110" s="31" t="s">
        <v>895</v>
      </c>
      <c r="B110" s="77"/>
      <c r="C110" s="69"/>
      <c r="D110" s="69">
        <f t="shared" ref="D110:X110" si="52">SUM(D$191,D$194)</f>
        <v>0.63900000000000001</v>
      </c>
      <c r="E110" s="69">
        <f t="shared" si="52"/>
        <v>0.25600000000000001</v>
      </c>
      <c r="F110" s="69">
        <f t="shared" si="52"/>
        <v>1.3109999999999999</v>
      </c>
      <c r="G110" s="69">
        <f t="shared" si="52"/>
        <v>1.008</v>
      </c>
      <c r="H110" s="69">
        <f t="shared" si="52"/>
        <v>0.58799999999999997</v>
      </c>
      <c r="I110" s="69">
        <f t="shared" si="52"/>
        <v>0.41499999999999998</v>
      </c>
      <c r="J110" s="123">
        <f t="shared" si="52"/>
        <v>0.76</v>
      </c>
      <c r="K110" s="123">
        <f t="shared" si="52"/>
        <v>0.64700000000000002</v>
      </c>
      <c r="L110" s="123">
        <f t="shared" si="52"/>
        <v>0.66400000000000003</v>
      </c>
      <c r="M110" s="123">
        <f t="shared" si="52"/>
        <v>0.67999999999999994</v>
      </c>
      <c r="N110" s="123">
        <f t="shared" si="52"/>
        <v>0.70299999999999996</v>
      </c>
      <c r="O110" s="73">
        <f t="shared" si="52"/>
        <v>0.73465438008616557</v>
      </c>
      <c r="P110" s="73">
        <f t="shared" si="52"/>
        <v>0.76900335088559124</v>
      </c>
      <c r="Q110" s="73">
        <f t="shared" si="52"/>
        <v>0.81114169459071328</v>
      </c>
      <c r="R110" s="73">
        <f t="shared" si="52"/>
        <v>0.84615366203925324</v>
      </c>
      <c r="S110" s="73">
        <f t="shared" si="52"/>
        <v>0.88813403542364766</v>
      </c>
      <c r="T110" s="73">
        <f t="shared" si="52"/>
        <v>0.93509334609861183</v>
      </c>
      <c r="U110" s="73">
        <f t="shared" si="52"/>
        <v>0.97007371948300636</v>
      </c>
      <c r="V110" s="73">
        <f t="shared" si="52"/>
        <v>1.0070435615126856</v>
      </c>
      <c r="W110" s="73">
        <f t="shared" si="52"/>
        <v>1.0502345619913833</v>
      </c>
      <c r="X110" s="73">
        <f t="shared" si="52"/>
        <v>1.0986572522738154</v>
      </c>
    </row>
    <row r="111" spans="1:24" x14ac:dyDescent="0.2">
      <c r="A111" s="31" t="s">
        <v>896</v>
      </c>
      <c r="B111" s="77"/>
      <c r="C111" s="69"/>
      <c r="D111" s="173">
        <f t="shared" ref="D111:N111" si="53">D$112-SUM(D$109:D$110)</f>
        <v>8.2480000000000011</v>
      </c>
      <c r="E111" s="173">
        <f t="shared" si="53"/>
        <v>8.9090000000000007</v>
      </c>
      <c r="F111" s="173">
        <f t="shared" si="53"/>
        <v>9.6999999999999993</v>
      </c>
      <c r="G111" s="173">
        <f t="shared" si="53"/>
        <v>10.146000000000001</v>
      </c>
      <c r="H111" s="173">
        <f t="shared" si="53"/>
        <v>10.442</v>
      </c>
      <c r="I111" s="173">
        <f t="shared" si="53"/>
        <v>10.595000000000001</v>
      </c>
      <c r="J111" s="127">
        <f t="shared" ca="1" si="53"/>
        <v>11.003</v>
      </c>
      <c r="K111" s="127">
        <f t="shared" ca="1" si="53"/>
        <v>11.167999999999999</v>
      </c>
      <c r="L111" s="127">
        <f t="shared" ca="1" si="53"/>
        <v>11.262</v>
      </c>
      <c r="M111" s="127">
        <f t="shared" ca="1" si="53"/>
        <v>11.347</v>
      </c>
      <c r="N111" s="127">
        <f t="shared" ca="1" si="53"/>
        <v>11.379</v>
      </c>
      <c r="O111" s="269">
        <f ca="1">N$111 +IF(OFFSET(Scenarios!$A$72,0,$C$1)="Yes",(O$148-N$148)*OFFSET(Scenarios!$A$74,0,$C$1),0)</f>
        <v>11.379</v>
      </c>
      <c r="P111" s="269">
        <f ca="1">O$111 +IF(OFFSET(Scenarios!$A$72,0,$C$1)="Yes",(P$148-O$148)*OFFSET(Scenarios!$A$74,0,$C$1),0)</f>
        <v>11.379</v>
      </c>
      <c r="Q111" s="269">
        <f ca="1">P$111 +IF(OFFSET(Scenarios!$A$72,0,$C$1)="Yes",(Q$148-P$148)*OFFSET(Scenarios!$A$74,0,$C$1),0)</f>
        <v>11.379</v>
      </c>
      <c r="R111" s="269">
        <f ca="1">Q$111 +IF(OFFSET(Scenarios!$A$72,0,$C$1)="Yes",(R$148-Q$148)*OFFSET(Scenarios!$A$74,0,$C$1),0)</f>
        <v>11.379</v>
      </c>
      <c r="S111" s="269">
        <f ca="1">R$111 +IF(OFFSET(Scenarios!$A$72,0,$C$1)="Yes",(S$148-R$148)*OFFSET(Scenarios!$A$74,0,$C$1),0)</f>
        <v>11.379</v>
      </c>
      <c r="T111" s="269">
        <f ca="1">S$111 +IF(OFFSET(Scenarios!$A$72,0,$C$1)="Yes",(T$148-S$148)*OFFSET(Scenarios!$A$74,0,$C$1),0)</f>
        <v>11.379</v>
      </c>
      <c r="U111" s="269">
        <f ca="1">T$111 +IF(OFFSET(Scenarios!$A$72,0,$C$1)="Yes",(U$148-T$148)*OFFSET(Scenarios!$A$74,0,$C$1),0)</f>
        <v>11.379</v>
      </c>
      <c r="V111" s="269">
        <f ca="1">U$111 +IF(OFFSET(Scenarios!$A$72,0,$C$1)="Yes",(V$148-U$148)*OFFSET(Scenarios!$A$74,0,$C$1),0)</f>
        <v>11.379</v>
      </c>
      <c r="W111" s="269">
        <f ca="1">V$111 +IF(OFFSET(Scenarios!$A$72,0,$C$1)="Yes",(W$148-V$148)*OFFSET(Scenarios!$A$74,0,$C$1),0)</f>
        <v>11.379</v>
      </c>
      <c r="X111" s="269">
        <f ca="1">W$111 +IF(OFFSET(Scenarios!$A$72,0,$C$1)="Yes",(X$148-W$148)*OFFSET(Scenarios!$A$74,0,$C$1),0)</f>
        <v>11.379</v>
      </c>
    </row>
    <row r="112" spans="1:24" x14ac:dyDescent="0.2">
      <c r="A112" s="27" t="s">
        <v>141</v>
      </c>
      <c r="B112" s="228"/>
      <c r="C112" s="69"/>
      <c r="D112" s="71">
        <f>Data!C$42</f>
        <v>9.2690000000000001</v>
      </c>
      <c r="E112" s="71">
        <f>Data!D$42</f>
        <v>9.5510000000000002</v>
      </c>
      <c r="F112" s="71">
        <f>Data!E$42</f>
        <v>11.455</v>
      </c>
      <c r="G112" s="71">
        <f>Data!F$42</f>
        <v>11.724</v>
      </c>
      <c r="H112" s="71">
        <f>Data!G$42</f>
        <v>11.65</v>
      </c>
      <c r="I112" s="71">
        <f>Data!H$42</f>
        <v>11.654</v>
      </c>
      <c r="J112" s="128">
        <f ca="1">Data!I$42 + IF(OFFSET(Scenarios!$A$72,0,$C$1)="Yes",OFFSET(Scenarios!$A$74,0,$C$1)*J$148,0)</f>
        <v>12.355</v>
      </c>
      <c r="K112" s="128">
        <f ca="1">Data!J$42 + IF(OFFSET(Scenarios!$A$72,0,$C$1)="Yes",OFFSET(Scenarios!$A$74,0,$C$1)*K$148,0)</f>
        <v>12.388999999999999</v>
      </c>
      <c r="L112" s="128">
        <f ca="1">Data!K$42 + IF(OFFSET(Scenarios!$A$72,0,$C$1)="Yes",OFFSET(Scenarios!$A$74,0,$C$1)*L$148,0)</f>
        <v>12.462</v>
      </c>
      <c r="M112" s="128">
        <f ca="1">Data!L$42 + IF(OFFSET(Scenarios!$A$72,0,$C$1)="Yes",OFFSET(Scenarios!$A$74,0,$C$1)*M$148,0)</f>
        <v>12.555999999999999</v>
      </c>
      <c r="N112" s="128">
        <f ca="1">Data!M$42 + IF(OFFSET(Scenarios!$A$72,0,$C$1)="Yes",OFFSET(Scenarios!$A$74,0,$C$1)*N$148,0)</f>
        <v>12.61</v>
      </c>
      <c r="O112" s="75">
        <f t="shared" ref="O112:X112" ca="1" si="54">SUM(O$109:O$111)</f>
        <v>12.648810714922755</v>
      </c>
      <c r="P112" s="75">
        <f t="shared" ca="1" si="54"/>
        <v>12.689656419236144</v>
      </c>
      <c r="Q112" s="75">
        <f t="shared" ca="1" si="54"/>
        <v>12.73526368438357</v>
      </c>
      <c r="R112" s="75">
        <f t="shared" ca="1" si="54"/>
        <v>12.775317390423151</v>
      </c>
      <c r="S112" s="75">
        <f t="shared" ca="1" si="54"/>
        <v>12.826695615726411</v>
      </c>
      <c r="T112" s="75">
        <f t="shared" ca="1" si="54"/>
        <v>12.882809229075939</v>
      </c>
      <c r="U112" s="75">
        <f t="shared" ca="1" si="54"/>
        <v>12.930195964111835</v>
      </c>
      <c r="V112" s="75">
        <f t="shared" ca="1" si="54"/>
        <v>12.980907471894417</v>
      </c>
      <c r="W112" s="75">
        <f t="shared" ca="1" si="54"/>
        <v>13.042932666863548</v>
      </c>
      <c r="X112" s="75">
        <f t="shared" ca="1" si="54"/>
        <v>13.112520722285007</v>
      </c>
    </row>
    <row r="113" spans="1:24" x14ac:dyDescent="0.2">
      <c r="A113" s="27" t="s">
        <v>142</v>
      </c>
      <c r="B113" s="228"/>
      <c r="C113" s="69"/>
      <c r="D113" s="71">
        <f>Data!C$23</f>
        <v>9.8529999999999998</v>
      </c>
      <c r="E113" s="71">
        <f>Data!D$23</f>
        <v>10.397</v>
      </c>
      <c r="F113" s="71">
        <f>Data!E$23</f>
        <v>12.465</v>
      </c>
      <c r="G113" s="71">
        <f>Data!F$23</f>
        <v>12.44</v>
      </c>
      <c r="H113" s="71">
        <f>Data!G$23</f>
        <v>12.406000000000001</v>
      </c>
      <c r="I113" s="71">
        <f>Data!H$23</f>
        <v>12.407</v>
      </c>
      <c r="J113" s="128">
        <f ca="1">Data!I$23 + IF(OFFSET(Scenarios!$A$72,0,$C$1)="Yes",OFFSET(Scenarios!$A$74,0,$C$1)*J$148,0)</f>
        <v>13.119</v>
      </c>
      <c r="K113" s="128">
        <f ca="1">Data!J$23 + IF(OFFSET(Scenarios!$A$72,0,$C$1)="Yes",OFFSET(Scenarios!$A$74,0,$C$1)*K$148,0)</f>
        <v>13.186</v>
      </c>
      <c r="L113" s="128">
        <f ca="1">Data!K$23 + IF(OFFSET(Scenarios!$A$72,0,$C$1)="Yes",OFFSET(Scenarios!$A$74,0,$C$1)*L$148,0)</f>
        <v>13.266</v>
      </c>
      <c r="M113" s="128">
        <f ca="1">Data!L$23 + IF(OFFSET(Scenarios!$A$72,0,$C$1)="Yes",OFFSET(Scenarios!$A$74,0,$C$1)*M$148,0)</f>
        <v>13.38</v>
      </c>
      <c r="N113" s="128">
        <f ca="1">Data!M$23 + IF(OFFSET(Scenarios!$A$72,0,$C$1)="Yes",OFFSET(Scenarios!$A$74,0,$C$1)*N$148,0)</f>
        <v>13.455</v>
      </c>
      <c r="O113" s="75">
        <f ca="1">SUM(O$112,(N$113-N$112)*(1+AVERAGE(Popn!O$198:O$200)))</f>
        <v>13.493379814117477</v>
      </c>
      <c r="P113" s="75">
        <f ca="1">SUM(P$112,(O$113-O$112)*(1+AVERAGE(Popn!P$198:P$200)))</f>
        <v>13.534288152425322</v>
      </c>
      <c r="Q113" s="75">
        <f ca="1">SUM(Q$112,(P$113-P$112)*(1+AVERAGE(Popn!Q$198:Q$200)))</f>
        <v>13.57941212983099</v>
      </c>
      <c r="R113" s="75">
        <f ca="1">SUM(R$112,(Q$113-Q$112)*(1+AVERAGE(Popn!R$198:R$200)))</f>
        <v>13.619769163589812</v>
      </c>
      <c r="S113" s="75">
        <f ca="1">SUM(S$112,(R$113-R$112)*(1+AVERAGE(Popn!S$198:S$200)))</f>
        <v>13.673038350210433</v>
      </c>
      <c r="T113" s="75">
        <f ca="1">SUM(T$112,(S$113-S$112)*(1+AVERAGE(Popn!T$198:T$200)))</f>
        <v>13.730972511434182</v>
      </c>
      <c r="U113" s="75">
        <f ca="1">SUM(U$112,(T$113-T$112)*(1+AVERAGE(Popn!U$198:U$200)))</f>
        <v>13.781152091113565</v>
      </c>
      <c r="V113" s="75">
        <f ca="1">SUM(V$112,(U$113-U$112)*(1+AVERAGE(Popn!V$198:V$200)))</f>
        <v>13.83411328219305</v>
      </c>
      <c r="W113" s="75">
        <f ca="1">SUM(W$112,(V$113-V$112)*(1+AVERAGE(Popn!W$198:W$200)))</f>
        <v>13.899739144794491</v>
      </c>
      <c r="X113" s="75">
        <f ca="1">SUM(X$112,(W$113-W$112)*(1+AVERAGE(Popn!X$198:X$200)))</f>
        <v>13.973955994884459</v>
      </c>
    </row>
    <row r="114" spans="1:24" x14ac:dyDescent="0.2">
      <c r="A114" s="27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1:24" x14ac:dyDescent="0.2">
      <c r="A115" s="106" t="s">
        <v>905</v>
      </c>
      <c r="B115" s="69"/>
      <c r="C115" s="69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x14ac:dyDescent="0.2">
      <c r="A116" s="27" t="s">
        <v>906</v>
      </c>
      <c r="B116" s="228"/>
      <c r="C116" s="69"/>
      <c r="D116" s="71">
        <f>Data!C$46</f>
        <v>2.4049999999999998</v>
      </c>
      <c r="E116" s="71">
        <f>Data!D$46</f>
        <v>2.2440000000000002</v>
      </c>
      <c r="F116" s="71">
        <f>Data!E$46</f>
        <v>2.6629999999999998</v>
      </c>
      <c r="G116" s="71">
        <f>Data!F$46</f>
        <v>2.3450000000000002</v>
      </c>
      <c r="H116" s="71">
        <f>Data!G$46</f>
        <v>2.2810000000000001</v>
      </c>
      <c r="I116" s="71">
        <f>Data!H$46</f>
        <v>2.2320000000000002</v>
      </c>
      <c r="J116" s="128">
        <f>Data!I$46</f>
        <v>2.3519999999999999</v>
      </c>
      <c r="K116" s="128">
        <f>Data!J$46</f>
        <v>2.1619999999999999</v>
      </c>
      <c r="L116" s="128">
        <f>Data!K$46</f>
        <v>2.2189999999999999</v>
      </c>
      <c r="M116" s="128">
        <f>Data!L$46</f>
        <v>2.1469999999999998</v>
      </c>
      <c r="N116" s="128">
        <f>Data!M$46</f>
        <v>2.218</v>
      </c>
      <c r="O116" s="75">
        <f t="shared" ref="O116:X116" ca="1" si="55">N$116*O$52/N$52</f>
        <v>2.3981525770064507</v>
      </c>
      <c r="P116" s="75">
        <f t="shared" ca="1" si="55"/>
        <v>2.5060467891742539</v>
      </c>
      <c r="Q116" s="75">
        <f t="shared" ca="1" si="55"/>
        <v>2.6216840733666213</v>
      </c>
      <c r="R116" s="75">
        <f t="shared" ca="1" si="55"/>
        <v>2.7429789104069511</v>
      </c>
      <c r="S116" s="75">
        <f t="shared" ca="1" si="55"/>
        <v>2.8691158580592027</v>
      </c>
      <c r="T116" s="75">
        <f t="shared" ca="1" si="55"/>
        <v>2.9986543511878092</v>
      </c>
      <c r="U116" s="75">
        <f t="shared" ca="1" si="55"/>
        <v>3.1318955647587909</v>
      </c>
      <c r="V116" s="75">
        <f t="shared" ca="1" si="55"/>
        <v>3.27027556993129</v>
      </c>
      <c r="W116" s="75">
        <f t="shared" ca="1" si="55"/>
        <v>3.4129697792848623</v>
      </c>
      <c r="X116" s="75">
        <f t="shared" ca="1" si="55"/>
        <v>3.5596884348104547</v>
      </c>
    </row>
    <row r="117" spans="1:24" x14ac:dyDescent="0.2">
      <c r="A117" s="27" t="s">
        <v>907</v>
      </c>
      <c r="B117" s="228"/>
      <c r="C117" s="69"/>
      <c r="D117" s="71">
        <f>Data!C$27</f>
        <v>6.99</v>
      </c>
      <c r="E117" s="71">
        <f>Data!D$27</f>
        <v>7.4240000000000004</v>
      </c>
      <c r="F117" s="71">
        <f>Data!E$27</f>
        <v>9.0229999999999997</v>
      </c>
      <c r="G117" s="71">
        <f>Data!F$27</f>
        <v>7.9909999999999997</v>
      </c>
      <c r="H117" s="71">
        <f>Data!G$27</f>
        <v>8.4019999999999992</v>
      </c>
      <c r="I117" s="71">
        <f>Data!H$27</f>
        <v>10.259</v>
      </c>
      <c r="J117" s="128">
        <f>Data!I$27</f>
        <v>8.8049999999999997</v>
      </c>
      <c r="K117" s="128">
        <f>Data!J$27</f>
        <v>8.5960000000000001</v>
      </c>
      <c r="L117" s="128">
        <f>Data!K$27</f>
        <v>8.93</v>
      </c>
      <c r="M117" s="128">
        <f>Data!L$27</f>
        <v>9.1210000000000004</v>
      </c>
      <c r="N117" s="128">
        <f>Data!M$27</f>
        <v>9.4849999999999994</v>
      </c>
      <c r="O117" s="75">
        <f t="shared" ref="O117:X117" ca="1" si="56">SUM(O$116,(N$117-N$116)*(1+O$245))</f>
        <v>9.9912433509293628</v>
      </c>
      <c r="P117" s="75">
        <f t="shared" ca="1" si="56"/>
        <v>10.440754920902513</v>
      </c>
      <c r="Q117" s="75">
        <f t="shared" ca="1" si="56"/>
        <v>10.922525871543495</v>
      </c>
      <c r="R117" s="75">
        <f t="shared" ca="1" si="56"/>
        <v>11.427867460607031</v>
      </c>
      <c r="S117" s="75">
        <f t="shared" ca="1" si="56"/>
        <v>11.953382372218803</v>
      </c>
      <c r="T117" s="75">
        <f t="shared" ca="1" si="56"/>
        <v>12.493068887818314</v>
      </c>
      <c r="U117" s="75">
        <f t="shared" ca="1" si="56"/>
        <v>13.048181770094798</v>
      </c>
      <c r="V117" s="75">
        <f t="shared" ca="1" si="56"/>
        <v>13.624704014691575</v>
      </c>
      <c r="W117" s="75">
        <f t="shared" ca="1" si="56"/>
        <v>14.219200204837932</v>
      </c>
      <c r="X117" s="75">
        <f t="shared" ca="1" si="56"/>
        <v>14.8304631434568</v>
      </c>
    </row>
    <row r="118" spans="1:24" x14ac:dyDescent="0.2">
      <c r="A118" s="27"/>
      <c r="B118" s="100"/>
      <c r="C118" s="69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5"/>
      <c r="U118" s="75"/>
      <c r="V118" s="75"/>
      <c r="W118" s="75"/>
      <c r="X118" s="75"/>
    </row>
    <row r="119" spans="1:24" x14ac:dyDescent="0.2">
      <c r="A119" s="106" t="s">
        <v>908</v>
      </c>
      <c r="B119" s="100"/>
      <c r="C119" s="69"/>
      <c r="D119" s="71"/>
      <c r="E119" s="71"/>
      <c r="F119" s="71"/>
      <c r="G119" s="71"/>
      <c r="H119" s="71"/>
      <c r="I119" s="71"/>
      <c r="J119" s="402"/>
      <c r="K119" s="402"/>
      <c r="L119" s="402"/>
      <c r="M119" s="402"/>
      <c r="N119" s="403"/>
      <c r="O119" s="403"/>
      <c r="P119" s="403"/>
      <c r="Q119" s="403"/>
      <c r="R119" s="403"/>
      <c r="S119" s="403"/>
      <c r="T119" s="75"/>
      <c r="U119" s="75"/>
      <c r="V119" s="75"/>
      <c r="W119" s="75"/>
      <c r="X119" s="75"/>
    </row>
    <row r="120" spans="1:24" x14ac:dyDescent="0.2">
      <c r="A120" s="31" t="s">
        <v>165</v>
      </c>
      <c r="B120" s="228"/>
      <c r="C120" s="69"/>
      <c r="D120" s="69">
        <f>Data!C$152</f>
        <v>0</v>
      </c>
      <c r="E120" s="69">
        <f>Data!D$152</f>
        <v>1.1020000000000001</v>
      </c>
      <c r="F120" s="69">
        <f>Data!E$152</f>
        <v>1.2809999999999999</v>
      </c>
      <c r="G120" s="69">
        <f>Data!F$152</f>
        <v>1.024</v>
      </c>
      <c r="H120" s="69">
        <f>Data!G$152</f>
        <v>1.042</v>
      </c>
      <c r="I120" s="69">
        <f>Data!H$152</f>
        <v>0.68799999999999994</v>
      </c>
      <c r="J120" s="263">
        <f>Data!I$152</f>
        <v>0.73799999999999999</v>
      </c>
      <c r="K120" s="263">
        <f>Data!J$152</f>
        <v>0.748</v>
      </c>
      <c r="L120" s="263">
        <f>Data!K$152</f>
        <v>0.72699999999999998</v>
      </c>
      <c r="M120" s="263">
        <f>Data!L$152</f>
        <v>0.746</v>
      </c>
      <c r="N120" s="263">
        <f>Data!M$152</f>
        <v>0.77700000000000002</v>
      </c>
      <c r="O120" s="73">
        <f>Tracks!S$31</f>
        <v>0.81123900000000004</v>
      </c>
      <c r="P120" s="73">
        <f>Tracks!T$31</f>
        <v>0.84864399999999995</v>
      </c>
      <c r="Q120" s="73">
        <f>Tracks!U$31</f>
        <v>0.88611400000000007</v>
      </c>
      <c r="R120" s="73">
        <f>Tracks!V$31</f>
        <v>0.92313900000000004</v>
      </c>
      <c r="S120" s="73">
        <f>Tracks!W$31</f>
        <v>0.96173600000000004</v>
      </c>
      <c r="T120" s="73">
        <f ca="1">S$120*(1+T$245)</f>
        <v>1.0051576805423141</v>
      </c>
      <c r="U120" s="98">
        <f ca="1">T$120*(1+U$245)</f>
        <v>1.0498205237715112</v>
      </c>
      <c r="V120" s="98">
        <f ca="1">U$120*(1+V$245)</f>
        <v>1.096205904926737</v>
      </c>
      <c r="W120" s="98">
        <f ca="1">V$120*(1+W$245)</f>
        <v>1.1440374199007257</v>
      </c>
      <c r="X120" s="98">
        <f ca="1">W$120*(1+X$245)</f>
        <v>1.1932179409641068</v>
      </c>
    </row>
    <row r="121" spans="1:24" x14ac:dyDescent="0.2">
      <c r="A121" s="31" t="s">
        <v>909</v>
      </c>
      <c r="B121" s="100"/>
      <c r="C121" s="69"/>
      <c r="D121" s="173">
        <f>D$122-D$120</f>
        <v>1.595</v>
      </c>
      <c r="E121" s="173">
        <f t="shared" ref="E121:N121" si="57">E$122-E$120</f>
        <v>1.7869999999999997</v>
      </c>
      <c r="F121" s="173">
        <f t="shared" si="57"/>
        <v>1.679</v>
      </c>
      <c r="G121" s="173">
        <f t="shared" si="57"/>
        <v>1.8149999999999999</v>
      </c>
      <c r="H121" s="173">
        <f t="shared" si="57"/>
        <v>1.5669999999999999</v>
      </c>
      <c r="I121" s="173">
        <f t="shared" si="57"/>
        <v>1.4690000000000001</v>
      </c>
      <c r="J121" s="127">
        <f t="shared" ca="1" si="57"/>
        <v>1.3140000000000001</v>
      </c>
      <c r="K121" s="127">
        <f t="shared" ca="1" si="57"/>
        <v>1.4040000000000001</v>
      </c>
      <c r="L121" s="127">
        <f t="shared" ca="1" si="57"/>
        <v>1.3660000000000001</v>
      </c>
      <c r="M121" s="127">
        <f t="shared" ca="1" si="57"/>
        <v>1.3660000000000001</v>
      </c>
      <c r="N121" s="127">
        <f t="shared" ca="1" si="57"/>
        <v>1.3479999999999999</v>
      </c>
      <c r="O121" s="269">
        <f ca="1">N$121 +IF(OFFSET(Scenarios!$A$72,0,$C$1)="Yes",(O$148-N$148)*OFFSET(Scenarios!$A$79,0,$C$1),0)</f>
        <v>1.3479999999999999</v>
      </c>
      <c r="P121" s="269">
        <f ca="1">O$121 +IF(OFFSET(Scenarios!$A$72,0,$C$1)="Yes",(P$148-O$148)*OFFSET(Scenarios!$A$79,0,$C$1),0)</f>
        <v>1.3479999999999999</v>
      </c>
      <c r="Q121" s="269">
        <f ca="1">P$121 +IF(OFFSET(Scenarios!$A$72,0,$C$1)="Yes",(Q$148-P$148)*OFFSET(Scenarios!$A$79,0,$C$1),0)</f>
        <v>1.3479999999999999</v>
      </c>
      <c r="R121" s="269">
        <f ca="1">Q$121 +IF(OFFSET(Scenarios!$A$72,0,$C$1)="Yes",(R$148-Q$148)*OFFSET(Scenarios!$A$79,0,$C$1),0)</f>
        <v>1.3479999999999999</v>
      </c>
      <c r="S121" s="269">
        <f ca="1">R$121 +IF(OFFSET(Scenarios!$A$72,0,$C$1)="Yes",(S$148-R$148)*OFFSET(Scenarios!$A$79,0,$C$1),0)</f>
        <v>1.3479999999999999</v>
      </c>
      <c r="T121" s="269">
        <f ca="1">S$121 +IF(OFFSET(Scenarios!$A$72,0,$C$1)="Yes",(T$148-S$148)*OFFSET(Scenarios!$A$79,0,$C$1),0)</f>
        <v>1.3479999999999999</v>
      </c>
      <c r="U121" s="269">
        <f ca="1">T$121 +IF(OFFSET(Scenarios!$A$72,0,$C$1)="Yes",(U$148-T$148)*OFFSET(Scenarios!$A$79,0,$C$1),0)</f>
        <v>1.3479999999999999</v>
      </c>
      <c r="V121" s="269">
        <f ca="1">U$121 +IF(OFFSET(Scenarios!$A$72,0,$C$1)="Yes",(V$148-U$148)*OFFSET(Scenarios!$A$79,0,$C$1),0)</f>
        <v>1.3479999999999999</v>
      </c>
      <c r="W121" s="269">
        <f ca="1">V$121 +IF(OFFSET(Scenarios!$A$72,0,$C$1)="Yes",(W$148-V$148)*OFFSET(Scenarios!$A$79,0,$C$1),0)</f>
        <v>1.3479999999999999</v>
      </c>
      <c r="X121" s="269">
        <f ca="1">W$121 +IF(OFFSET(Scenarios!$A$72,0,$C$1)="Yes",(X$148-W$148)*OFFSET(Scenarios!$A$79,0,$C$1),0)</f>
        <v>1.3479999999999999</v>
      </c>
    </row>
    <row r="122" spans="1:24" x14ac:dyDescent="0.2">
      <c r="A122" s="27" t="s">
        <v>910</v>
      </c>
      <c r="B122" s="228"/>
      <c r="C122" s="69"/>
      <c r="D122" s="71">
        <f>Data!C$47</f>
        <v>1.595</v>
      </c>
      <c r="E122" s="71">
        <f>Data!D$47</f>
        <v>2.8889999999999998</v>
      </c>
      <c r="F122" s="71">
        <f>Data!E$47</f>
        <v>2.96</v>
      </c>
      <c r="G122" s="71">
        <f>Data!F$47</f>
        <v>2.839</v>
      </c>
      <c r="H122" s="71">
        <f>Data!G$47</f>
        <v>2.609</v>
      </c>
      <c r="I122" s="71">
        <f>Data!H$47</f>
        <v>2.157</v>
      </c>
      <c r="J122" s="128">
        <f ca="1">Data!I$47 + IF(OFFSET(Scenarios!$A$72,0,$C$1)="Yes",OFFSET(Scenarios!$A$79,0,$C$1)*J$148,0)</f>
        <v>2.052</v>
      </c>
      <c r="K122" s="128">
        <f ca="1">Data!J$47 + IF(OFFSET(Scenarios!$A$72,0,$C$1)="Yes",OFFSET(Scenarios!$A$79,0,$C$1)*K$148,0)</f>
        <v>2.1520000000000001</v>
      </c>
      <c r="L122" s="128">
        <f ca="1">Data!K$47 + IF(OFFSET(Scenarios!$A$72,0,$C$1)="Yes",OFFSET(Scenarios!$A$79,0,$C$1)*L$148,0)</f>
        <v>2.093</v>
      </c>
      <c r="M122" s="128">
        <f ca="1">Data!L$47 + IF(OFFSET(Scenarios!$A$72,0,$C$1)="Yes",OFFSET(Scenarios!$A$79,0,$C$1)*M$148,0)</f>
        <v>2.1120000000000001</v>
      </c>
      <c r="N122" s="128">
        <f ca="1">Data!M$47 + IF(OFFSET(Scenarios!$A$72,0,$C$1)="Yes",OFFSET(Scenarios!$A$79,0,$C$1)*N$148,0)</f>
        <v>2.125</v>
      </c>
      <c r="O122" s="75">
        <f t="shared" ref="O122:X122" ca="1" si="58">SUM(O$120:O$121)</f>
        <v>2.1592389999999999</v>
      </c>
      <c r="P122" s="75">
        <f t="shared" ca="1" si="58"/>
        <v>2.196644</v>
      </c>
      <c r="Q122" s="75">
        <f t="shared" ca="1" si="58"/>
        <v>2.2341139999999999</v>
      </c>
      <c r="R122" s="75">
        <f t="shared" ca="1" si="58"/>
        <v>2.2711389999999998</v>
      </c>
      <c r="S122" s="75">
        <f t="shared" ca="1" si="58"/>
        <v>2.309736</v>
      </c>
      <c r="T122" s="75">
        <f t="shared" ca="1" si="58"/>
        <v>2.353157680542314</v>
      </c>
      <c r="U122" s="75">
        <f t="shared" ca="1" si="58"/>
        <v>2.3978205237715109</v>
      </c>
      <c r="V122" s="75">
        <f t="shared" ca="1" si="58"/>
        <v>2.4442059049267368</v>
      </c>
      <c r="W122" s="75">
        <f t="shared" ca="1" si="58"/>
        <v>2.4920374199007256</v>
      </c>
      <c r="X122" s="75">
        <f t="shared" ca="1" si="58"/>
        <v>2.5412179409641067</v>
      </c>
    </row>
    <row r="123" spans="1:24" x14ac:dyDescent="0.2">
      <c r="A123" s="27" t="s">
        <v>911</v>
      </c>
      <c r="B123" s="228"/>
      <c r="C123" s="69"/>
      <c r="D123" s="71">
        <f>Data!C$28</f>
        <v>4.7229999999999999</v>
      </c>
      <c r="E123" s="71">
        <f>Data!D$28</f>
        <v>9.0380000000000003</v>
      </c>
      <c r="F123" s="71">
        <f>Data!E$28</f>
        <v>7.6950000000000003</v>
      </c>
      <c r="G123" s="71">
        <f>Data!F$28</f>
        <v>7.5410000000000004</v>
      </c>
      <c r="H123" s="71">
        <f>Data!G$28</f>
        <v>18.818000000000001</v>
      </c>
      <c r="I123" s="71">
        <f>Data!H$28</f>
        <v>10.018000000000001</v>
      </c>
      <c r="J123" s="128">
        <f ca="1">Data!I$28 + IF(OFFSET(Scenarios!$A$72,0,$C$1)="Yes",OFFSET(Scenarios!$A$79,0,$C$1)*J$148,0)</f>
        <v>8.6340000000000003</v>
      </c>
      <c r="K123" s="128">
        <f ca="1">Data!J$28 + IF(OFFSET(Scenarios!$A$72,0,$C$1)="Yes",OFFSET(Scenarios!$A$79,0,$C$1)*K$148,0)</f>
        <v>8.0579999999999998</v>
      </c>
      <c r="L123" s="128">
        <f ca="1">Data!K$28 + IF(OFFSET(Scenarios!$A$72,0,$C$1)="Yes",OFFSET(Scenarios!$A$79,0,$C$1)*L$148,0)</f>
        <v>8.5850000000000009</v>
      </c>
      <c r="M123" s="128">
        <f ca="1">Data!L$28 + IF(OFFSET(Scenarios!$A$72,0,$C$1)="Yes",OFFSET(Scenarios!$A$79,0,$C$1)*M$148,0)</f>
        <v>8.8079999999999998</v>
      </c>
      <c r="N123" s="128">
        <f ca="1">Data!M$28 + IF(OFFSET(Scenarios!$A$72,0,$C$1)="Yes",OFFSET(Scenarios!$A$79,0,$C$1)*N$148,0)</f>
        <v>9.157</v>
      </c>
      <c r="O123" s="75">
        <f t="shared" ref="O123:X123" ca="1" si="59">SUM(O$122,(N$123-N$122)*(1+O$245))</f>
        <v>9.5067846615145069</v>
      </c>
      <c r="P123" s="75">
        <f t="shared" ca="1" si="59"/>
        <v>9.8747598087674611</v>
      </c>
      <c r="Q123" s="75">
        <f t="shared" ca="1" si="59"/>
        <v>10.266523457104693</v>
      </c>
      <c r="R123" s="75">
        <f t="shared" ca="1" si="59"/>
        <v>10.675175918261592</v>
      </c>
      <c r="S123" s="75">
        <f t="shared" ca="1" si="59"/>
        <v>11.100235811142195</v>
      </c>
      <c r="T123" s="75">
        <f t="shared" ca="1" si="59"/>
        <v>11.54054216128894</v>
      </c>
      <c r="U123" s="75">
        <f t="shared" ca="1" si="59"/>
        <v>11.993434201482097</v>
      </c>
      <c r="V123" s="75">
        <f t="shared" ca="1" si="59"/>
        <v>12.46379319315494</v>
      </c>
      <c r="W123" s="75">
        <f t="shared" ca="1" si="59"/>
        <v>12.948816331761082</v>
      </c>
      <c r="X123" s="75">
        <f t="shared" ca="1" si="59"/>
        <v>13.44751871861666</v>
      </c>
    </row>
    <row r="124" spans="1:24" x14ac:dyDescent="0.2">
      <c r="A124" s="27"/>
      <c r="B124" s="69"/>
      <c r="C124" s="69"/>
      <c r="D124" s="71"/>
      <c r="E124" s="71"/>
      <c r="F124" s="71"/>
      <c r="G124" s="71"/>
      <c r="H124" s="71"/>
      <c r="I124" s="128"/>
      <c r="J124" s="128"/>
      <c r="K124" s="128"/>
      <c r="L124" s="128"/>
      <c r="M124" s="128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x14ac:dyDescent="0.2">
      <c r="A125" s="106" t="s">
        <v>989</v>
      </c>
      <c r="B125" s="69"/>
      <c r="C125" s="69"/>
      <c r="D125" s="71"/>
      <c r="E125" s="71"/>
      <c r="F125" s="71"/>
      <c r="G125" s="71"/>
      <c r="H125" s="71"/>
      <c r="I125" s="128"/>
      <c r="J125" s="128"/>
      <c r="K125" s="128"/>
      <c r="L125" s="128"/>
      <c r="M125" s="128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x14ac:dyDescent="0.2">
      <c r="A126" s="31" t="s">
        <v>912</v>
      </c>
      <c r="B126" s="228"/>
      <c r="C126" s="69"/>
      <c r="D126" s="69">
        <f>D$218</f>
        <v>0</v>
      </c>
      <c r="E126" s="69">
        <f t="shared" ref="E126:X126" si="60">E$218</f>
        <v>0</v>
      </c>
      <c r="F126" s="69">
        <f t="shared" si="60"/>
        <v>1.7000000000000001E-2</v>
      </c>
      <c r="G126" s="69">
        <f t="shared" si="60"/>
        <v>0.08</v>
      </c>
      <c r="H126" s="69">
        <f t="shared" si="60"/>
        <v>0.86</v>
      </c>
      <c r="I126" s="69">
        <f t="shared" si="60"/>
        <v>0.33400000000000002</v>
      </c>
      <c r="J126" s="123">
        <f t="shared" si="60"/>
        <v>8.0000000000000002E-3</v>
      </c>
      <c r="K126" s="123">
        <f t="shared" si="60"/>
        <v>4.0000000000000001E-3</v>
      </c>
      <c r="L126" s="123">
        <f t="shared" si="60"/>
        <v>4.0000000000000001E-3</v>
      </c>
      <c r="M126" s="123">
        <f t="shared" si="60"/>
        <v>4.0000000000000001E-3</v>
      </c>
      <c r="N126" s="123">
        <f t="shared" si="60"/>
        <v>4.0000000000000001E-3</v>
      </c>
      <c r="O126" s="73">
        <f t="shared" ca="1" si="60"/>
        <v>5.1019104716227013E-3</v>
      </c>
      <c r="P126" s="73">
        <f t="shared" ca="1" si="60"/>
        <v>5.2039486810551558E-3</v>
      </c>
      <c r="Q126" s="73">
        <f t="shared" ca="1" si="60"/>
        <v>5.3080276546762593E-3</v>
      </c>
      <c r="R126" s="73">
        <f t="shared" ca="1" si="60"/>
        <v>5.4141882077697844E-3</v>
      </c>
      <c r="S126" s="73">
        <f t="shared" ca="1" si="60"/>
        <v>5.5224719719251802E-3</v>
      </c>
      <c r="T126" s="73">
        <f t="shared" ca="1" si="60"/>
        <v>5.6329214113636844E-3</v>
      </c>
      <c r="U126" s="73">
        <f t="shared" ca="1" si="60"/>
        <v>5.7455798395909582E-3</v>
      </c>
      <c r="V126" s="73">
        <f t="shared" ca="1" si="60"/>
        <v>5.8604914363827778E-3</v>
      </c>
      <c r="W126" s="73">
        <f t="shared" ca="1" si="60"/>
        <v>5.9777012651104338E-3</v>
      </c>
      <c r="X126" s="73">
        <f t="shared" ca="1" si="60"/>
        <v>6.0972552904126429E-3</v>
      </c>
    </row>
    <row r="127" spans="1:24" x14ac:dyDescent="0.2">
      <c r="A127" s="31" t="s">
        <v>993</v>
      </c>
      <c r="B127" s="69"/>
      <c r="C127" s="69"/>
      <c r="D127" s="173">
        <f>D$128-D$126</f>
        <v>0.32100000000000001</v>
      </c>
      <c r="E127" s="173">
        <f>E$128-E$126</f>
        <v>0.54600000000000004</v>
      </c>
      <c r="F127" s="173">
        <f t="shared" ref="F127:N127" si="61">F$128-F$126</f>
        <v>0.39899999999999997</v>
      </c>
      <c r="G127" s="173">
        <f t="shared" si="61"/>
        <v>0.57100000000000006</v>
      </c>
      <c r="H127" s="173">
        <f t="shared" si="61"/>
        <v>0.3650000000000001</v>
      </c>
      <c r="I127" s="173">
        <f t="shared" si="61"/>
        <v>0.435</v>
      </c>
      <c r="J127" s="127">
        <f t="shared" ca="1" si="61"/>
        <v>0.51100000000000001</v>
      </c>
      <c r="K127" s="127">
        <f t="shared" ca="1" si="61"/>
        <v>0.49199999999999999</v>
      </c>
      <c r="L127" s="127">
        <f t="shared" ca="1" si="61"/>
        <v>0.42399999999999999</v>
      </c>
      <c r="M127" s="127">
        <f t="shared" ca="1" si="61"/>
        <v>0.436</v>
      </c>
      <c r="N127" s="127">
        <f t="shared" ca="1" si="61"/>
        <v>0.42599999999999999</v>
      </c>
      <c r="O127" s="269">
        <f ca="1">N$127 +IF(OFFSET(Scenarios!$A$72,0,$C$1)="Yes",(O$148-N$148)*OFFSET(Scenarios!$A$81,0,$C$1),0)</f>
        <v>0.42599999999999999</v>
      </c>
      <c r="P127" s="269">
        <f ca="1">O$127 +IF(OFFSET(Scenarios!$A$72,0,$C$1)="Yes",(P$148-O$148)*OFFSET(Scenarios!$A$81,0,$C$1),0)</f>
        <v>0.42599999999999999</v>
      </c>
      <c r="Q127" s="269">
        <f ca="1">P$127 +IF(OFFSET(Scenarios!$A$72,0,$C$1)="Yes",(Q$148-P$148)*OFFSET(Scenarios!$A$81,0,$C$1),0)</f>
        <v>0.42599999999999999</v>
      </c>
      <c r="R127" s="269">
        <f ca="1">Q$127 +IF(OFFSET(Scenarios!$A$72,0,$C$1)="Yes",(R$148-Q$148)*OFFSET(Scenarios!$A$81,0,$C$1),0)</f>
        <v>0.42599999999999999</v>
      </c>
      <c r="S127" s="269">
        <f ca="1">R$127 +IF(OFFSET(Scenarios!$A$72,0,$C$1)="Yes",(S$148-R$148)*OFFSET(Scenarios!$A$81,0,$C$1),0)</f>
        <v>0.42599999999999999</v>
      </c>
      <c r="T127" s="269">
        <f ca="1">S$127 +IF(OFFSET(Scenarios!$A$72,0,$C$1)="Yes",(T$148-S$148)*OFFSET(Scenarios!$A$81,0,$C$1),0)</f>
        <v>0.42599999999999999</v>
      </c>
      <c r="U127" s="269">
        <f ca="1">T$127 +IF(OFFSET(Scenarios!$A$72,0,$C$1)="Yes",(U$148-T$148)*OFFSET(Scenarios!$A$81,0,$C$1),0)</f>
        <v>0.42599999999999999</v>
      </c>
      <c r="V127" s="269">
        <f ca="1">U$127 +IF(OFFSET(Scenarios!$A$72,0,$C$1)="Yes",(V$148-U$148)*OFFSET(Scenarios!$A$81,0,$C$1),0)</f>
        <v>0.42599999999999999</v>
      </c>
      <c r="W127" s="269">
        <f ca="1">V$127 +IF(OFFSET(Scenarios!$A$72,0,$C$1)="Yes",(W$148-V$148)*OFFSET(Scenarios!$A$81,0,$C$1),0)</f>
        <v>0.42599999999999999</v>
      </c>
      <c r="X127" s="269">
        <f ca="1">W$127 +IF(OFFSET(Scenarios!$A$72,0,$C$1)="Yes",(X$148-W$148)*OFFSET(Scenarios!$A$81,0,$C$1),0)</f>
        <v>0.42599999999999999</v>
      </c>
    </row>
    <row r="128" spans="1:24" x14ac:dyDescent="0.2">
      <c r="A128" s="27" t="s">
        <v>991</v>
      </c>
      <c r="B128" s="228"/>
      <c r="C128" s="69"/>
      <c r="D128" s="71">
        <f>Data!C$50</f>
        <v>0.32100000000000001</v>
      </c>
      <c r="E128" s="71">
        <f>Data!D$50</f>
        <v>0.54600000000000004</v>
      </c>
      <c r="F128" s="71">
        <f>Data!E$50</f>
        <v>0.41599999999999998</v>
      </c>
      <c r="G128" s="71">
        <f>Data!F$50</f>
        <v>0.65100000000000002</v>
      </c>
      <c r="H128" s="71">
        <f>Data!G$50</f>
        <v>1.2250000000000001</v>
      </c>
      <c r="I128" s="71">
        <f>Data!H$50</f>
        <v>0.76900000000000002</v>
      </c>
      <c r="J128" s="128">
        <f ca="1">Data!I$50 + IF(OFFSET(Scenarios!$A$72,0,$C$1)="Yes",OFFSET(Scenarios!$A$81,0,$C$1)*J$148,0)</f>
        <v>0.51900000000000002</v>
      </c>
      <c r="K128" s="128">
        <f ca="1">Data!J$50 + IF(OFFSET(Scenarios!$A$72,0,$C$1)="Yes",OFFSET(Scenarios!$A$81,0,$C$1)*K$148,0)</f>
        <v>0.496</v>
      </c>
      <c r="L128" s="128">
        <f ca="1">Data!K$50 + IF(OFFSET(Scenarios!$A$72,0,$C$1)="Yes",OFFSET(Scenarios!$A$81,0,$C$1)*L$148,0)</f>
        <v>0.42799999999999999</v>
      </c>
      <c r="M128" s="128">
        <f ca="1">Data!L$50 + IF(OFFSET(Scenarios!$A$72,0,$C$1)="Yes",OFFSET(Scenarios!$A$81,0,$C$1)*M$148,0)</f>
        <v>0.44</v>
      </c>
      <c r="N128" s="128">
        <f ca="1">Data!M$50 + IF(OFFSET(Scenarios!$A$72,0,$C$1)="Yes",OFFSET(Scenarios!$A$81,0,$C$1)*N$148,0)</f>
        <v>0.43</v>
      </c>
      <c r="O128" s="75">
        <f t="shared" ref="O128:X128" ca="1" si="62">SUM(O$126:O$127)</f>
        <v>0.43110191047162272</v>
      </c>
      <c r="P128" s="75">
        <f t="shared" ca="1" si="62"/>
        <v>0.43120394868105516</v>
      </c>
      <c r="Q128" s="75">
        <f t="shared" ca="1" si="62"/>
        <v>0.43130802765467624</v>
      </c>
      <c r="R128" s="75">
        <f t="shared" ca="1" si="62"/>
        <v>0.43141418820776978</v>
      </c>
      <c r="S128" s="75">
        <f t="shared" ca="1" si="62"/>
        <v>0.43152247197192517</v>
      </c>
      <c r="T128" s="75">
        <f t="shared" ca="1" si="62"/>
        <v>0.43163292141136367</v>
      </c>
      <c r="U128" s="75">
        <f t="shared" ca="1" si="62"/>
        <v>0.43174557983959094</v>
      </c>
      <c r="V128" s="75">
        <f t="shared" ca="1" si="62"/>
        <v>0.43186049143638278</v>
      </c>
      <c r="W128" s="75">
        <f t="shared" ca="1" si="62"/>
        <v>0.43197770126511043</v>
      </c>
      <c r="X128" s="75">
        <f t="shared" ca="1" si="62"/>
        <v>0.43209725529041265</v>
      </c>
    </row>
    <row r="129" spans="1:24" x14ac:dyDescent="0.2">
      <c r="A129" s="27" t="s">
        <v>992</v>
      </c>
      <c r="B129" s="228"/>
      <c r="C129" s="69"/>
      <c r="D129" s="71">
        <f>Data!C$31</f>
        <v>0.32100000000000001</v>
      </c>
      <c r="E129" s="71">
        <f>Data!D$31</f>
        <v>0.54600000000000004</v>
      </c>
      <c r="F129" s="71">
        <f>Data!E$31</f>
        <v>0.41599999999999998</v>
      </c>
      <c r="G129" s="71">
        <f>Data!F$31</f>
        <v>0.65100000000000002</v>
      </c>
      <c r="H129" s="71">
        <f>Data!G$31</f>
        <v>1.2250000000000001</v>
      </c>
      <c r="I129" s="71">
        <f>Data!H$31</f>
        <v>0.76900000000000002</v>
      </c>
      <c r="J129" s="128">
        <f ca="1">Data!I$31 + IF(OFFSET(Scenarios!$A$72,0,$C$1)="Yes",OFFSET(Scenarios!$A$81,0,$C$1)*J$148,0)</f>
        <v>0.496</v>
      </c>
      <c r="K129" s="128">
        <f ca="1">Data!J$31 + IF(OFFSET(Scenarios!$A$72,0,$C$1)="Yes",OFFSET(Scenarios!$A$81,0,$C$1)*K$148,0)</f>
        <v>0.47299999999999998</v>
      </c>
      <c r="L129" s="128">
        <f ca="1">Data!K$31 + IF(OFFSET(Scenarios!$A$72,0,$C$1)="Yes",OFFSET(Scenarios!$A$81,0,$C$1)*L$148,0)</f>
        <v>0.40400000000000003</v>
      </c>
      <c r="M129" s="128">
        <f ca="1">Data!L$31 + IF(OFFSET(Scenarios!$A$72,0,$C$1)="Yes",OFFSET(Scenarios!$A$81,0,$C$1)*M$148,0)</f>
        <v>0.41699999999999998</v>
      </c>
      <c r="N129" s="128">
        <f ca="1">Data!M$31 + IF(OFFSET(Scenarios!$A$72,0,$C$1)="Yes",OFFSET(Scenarios!$A$81,0,$C$1)*N$148,0)</f>
        <v>0.40699999999999997</v>
      </c>
      <c r="O129" s="75">
        <f t="shared" ref="O129:X129" ca="1" si="63">SUM(O$128,(N$129-N$128)*(1+O$245))</f>
        <v>0.40706983564016169</v>
      </c>
      <c r="P129" s="75">
        <f t="shared" ca="1" si="63"/>
        <v>0.40609065749765755</v>
      </c>
      <c r="Q129" s="75">
        <f t="shared" ca="1" si="63"/>
        <v>0.40503592618803685</v>
      </c>
      <c r="R129" s="75">
        <f t="shared" ca="1" si="63"/>
        <v>0.40392658167761947</v>
      </c>
      <c r="S129" s="75">
        <f t="shared" ca="1" si="63"/>
        <v>0.40277083720851919</v>
      </c>
      <c r="T129" s="75">
        <f t="shared" ca="1" si="63"/>
        <v>0.40158317126102627</v>
      </c>
      <c r="U129" s="75">
        <f t="shared" ca="1" si="63"/>
        <v>0.40036060905071957</v>
      </c>
      <c r="V129" s="75">
        <f t="shared" ca="1" si="63"/>
        <v>0.39908880377579564</v>
      </c>
      <c r="W129" s="75">
        <f t="shared" ca="1" si="63"/>
        <v>0.39777606375475943</v>
      </c>
      <c r="X129" s="75">
        <f t="shared" ca="1" si="63"/>
        <v>0.39642533863995633</v>
      </c>
    </row>
    <row r="130" spans="1:24" x14ac:dyDescent="0.2">
      <c r="A130" s="27"/>
      <c r="B130" s="100"/>
      <c r="C130" s="69"/>
      <c r="D130" s="117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">
      <c r="A131" s="106" t="s">
        <v>913</v>
      </c>
      <c r="C131" s="69"/>
      <c r="D131" s="69"/>
      <c r="E131" s="69"/>
      <c r="F131" s="69"/>
      <c r="G131" s="73"/>
      <c r="H131" s="73"/>
      <c r="I131" s="73"/>
      <c r="J131" s="73"/>
    </row>
    <row r="132" spans="1:24" x14ac:dyDescent="0.2">
      <c r="A132" s="157" t="s">
        <v>914</v>
      </c>
      <c r="B132" s="228"/>
      <c r="C132" s="69"/>
      <c r="D132" s="69">
        <f>Data!C$43</f>
        <v>4.8159999999999998</v>
      </c>
      <c r="E132" s="69">
        <f>Data!D$43</f>
        <v>3.371</v>
      </c>
      <c r="F132" s="69">
        <f>Data!E$43</f>
        <v>5.2930000000000001</v>
      </c>
      <c r="G132" s="69">
        <f>Data!F$43</f>
        <v>2.9740000000000002</v>
      </c>
      <c r="H132" s="69">
        <f>Data!G$43</f>
        <v>5.5629999999999997</v>
      </c>
      <c r="I132" s="69">
        <f>Data!H$43</f>
        <v>5.4279999999999999</v>
      </c>
      <c r="J132" s="123">
        <f ca="1">Data!I$43 + IF(OFFSET(Scenarios!$A$72,0,$C$1)="Yes",OFFSET(Scenarios!$A$76,0,$C$1)*J$148,0)</f>
        <v>5.5720000000000001</v>
      </c>
      <c r="K132" s="123">
        <f ca="1">Data!J$43 + IF(OFFSET(Scenarios!$A$72,0,$C$1)="Yes",OFFSET(Scenarios!$A$76,0,$C$1)*K$148,0)</f>
        <v>4.6369999999999996</v>
      </c>
      <c r="L132" s="123">
        <f ca="1">Data!K$43 + IF(OFFSET(Scenarios!$A$72,0,$C$1)="Yes",OFFSET(Scenarios!$A$76,0,$C$1)*L$148,0)</f>
        <v>4.2770000000000001</v>
      </c>
      <c r="M132" s="123">
        <f ca="1">Data!L$43 + IF(OFFSET(Scenarios!$A$72,0,$C$1)="Yes",OFFSET(Scenarios!$A$76,0,$C$1)*M$148,0)</f>
        <v>4.2779999999999996</v>
      </c>
      <c r="N132" s="123">
        <f ca="1">Data!M$43 + IF(OFFSET(Scenarios!$A$72,0,$C$1)="Yes",OFFSET(Scenarios!$A$76,0,$C$1)*N$148,0)</f>
        <v>4.2030000000000003</v>
      </c>
      <c r="O132" s="73">
        <f ca="1">N$132 +IF(OFFSET(Scenarios!$A$72,0,$C$1)="Yes",(O$148-N$148)*OFFSET(Scenarios!$A$76,0,$C$1),0)-0.083</f>
        <v>4.12</v>
      </c>
      <c r="P132" s="73">
        <f ca="1">O$132 +IF(OFFSET(Scenarios!$A$72,0,$C$1)="Yes",(P$148-O$148)*OFFSET(Scenarios!$A$76,0,$C$1),0)</f>
        <v>4.12</v>
      </c>
      <c r="Q132" s="73">
        <f ca="1">P$132 +IF(OFFSET(Scenarios!$A$72,0,$C$1)="Yes",(Q$148-P$148)*OFFSET(Scenarios!$A$76,0,$C$1),0)</f>
        <v>4.12</v>
      </c>
      <c r="R132" s="73">
        <f ca="1">Q$132 +IF(OFFSET(Scenarios!$A$72,0,$C$1)="Yes",(R$148-Q$148)*OFFSET(Scenarios!$A$76,0,$C$1),0)</f>
        <v>4.12</v>
      </c>
      <c r="S132" s="73">
        <f ca="1">R$132 +IF(OFFSET(Scenarios!$A$72,0,$C$1)="Yes",(S$148-R$148)*OFFSET(Scenarios!$A$76,0,$C$1),0)</f>
        <v>4.12</v>
      </c>
      <c r="T132" s="73">
        <f ca="1">S$132 +IF(OFFSET(Scenarios!$A$72,0,$C$1)="Yes",(T$148-S$148)*OFFSET(Scenarios!$A$76,0,$C$1),0)</f>
        <v>4.12</v>
      </c>
      <c r="U132" s="73">
        <f ca="1">T$132 +IF(OFFSET(Scenarios!$A$72,0,$C$1)="Yes",(U$148-T$148)*OFFSET(Scenarios!$A$76,0,$C$1),0)</f>
        <v>4.12</v>
      </c>
      <c r="V132" s="73">
        <f ca="1">U$132 +IF(OFFSET(Scenarios!$A$72,0,$C$1)="Yes",(V$148-U$148)*OFFSET(Scenarios!$A$76,0,$C$1),0)</f>
        <v>4.12</v>
      </c>
      <c r="W132" s="73">
        <f ca="1">V$132 +IF(OFFSET(Scenarios!$A$72,0,$C$1)="Yes",(W$148-V$148)*OFFSET(Scenarios!$A$76,0,$C$1),0)</f>
        <v>4.12</v>
      </c>
      <c r="X132" s="73">
        <f ca="1">W$132 +IF(OFFSET(Scenarios!$A$72,0,$C$1)="Yes",(X$148-W$148)*OFFSET(Scenarios!$A$76,0,$C$1),0)</f>
        <v>4.12</v>
      </c>
    </row>
    <row r="133" spans="1:24" x14ac:dyDescent="0.2">
      <c r="A133" s="68" t="s">
        <v>358</v>
      </c>
      <c r="B133" s="228"/>
      <c r="C133" s="69"/>
      <c r="D133" s="69">
        <f>Data!C$44</f>
        <v>2.6989999999999998</v>
      </c>
      <c r="E133" s="69">
        <f>Data!D$44</f>
        <v>2.8940000000000001</v>
      </c>
      <c r="F133" s="69">
        <f>Data!E$44</f>
        <v>3.089</v>
      </c>
      <c r="G133" s="69">
        <f>Data!F$44</f>
        <v>3.1909999999999998</v>
      </c>
      <c r="H133" s="69">
        <f>Data!G$44</f>
        <v>3.3820000000000001</v>
      </c>
      <c r="I133" s="69">
        <f>Data!H$44</f>
        <v>3.403</v>
      </c>
      <c r="J133" s="123">
        <f ca="1">Data!I$44 + IF(OFFSET(Scenarios!$A$72,0,$C$1)="Yes",OFFSET(Scenarios!$A$77,0,$C$1)*J$148,0)</f>
        <v>3.5110000000000001</v>
      </c>
      <c r="K133" s="123">
        <f ca="1">Data!J$44 + IF(OFFSET(Scenarios!$A$72,0,$C$1)="Yes",OFFSET(Scenarios!$A$77,0,$C$1)*K$148,0)</f>
        <v>3.5609999999999999</v>
      </c>
      <c r="L133" s="123">
        <f ca="1">Data!K$44 + IF(OFFSET(Scenarios!$A$72,0,$C$1)="Yes",OFFSET(Scenarios!$A$77,0,$C$1)*L$148,0)</f>
        <v>3.45</v>
      </c>
      <c r="M133" s="123">
        <f ca="1">Data!L$44 + IF(OFFSET(Scenarios!$A$72,0,$C$1)="Yes",OFFSET(Scenarios!$A$77,0,$C$1)*M$148,0)</f>
        <v>3.508</v>
      </c>
      <c r="N133" s="123">
        <f ca="1">Data!M$44 + IF(OFFSET(Scenarios!$A$72,0,$C$1)="Yes",OFFSET(Scenarios!$A$77,0,$C$1)*N$148,0)</f>
        <v>3.4809999999999999</v>
      </c>
      <c r="O133" s="73">
        <f ca="1">N$133 +IF(OFFSET(Scenarios!$A$72,0,$C$1)="Yes",(O$148-N$148)*OFFSET(Scenarios!$A$77,0,$C$1),0)</f>
        <v>3.4809999999999999</v>
      </c>
      <c r="P133" s="73">
        <f ca="1">O$133 +IF(OFFSET(Scenarios!$A$72,0,$C$1)="Yes",(P$148-O$148)*OFFSET(Scenarios!$A$77,0,$C$1),0)</f>
        <v>3.4809999999999999</v>
      </c>
      <c r="Q133" s="73">
        <f ca="1">P$133 +IF(OFFSET(Scenarios!$A$72,0,$C$1)="Yes",(Q$148-P$148)*OFFSET(Scenarios!$A$77,0,$C$1),0)</f>
        <v>3.4809999999999999</v>
      </c>
      <c r="R133" s="73">
        <f ca="1">Q$133 +IF(OFFSET(Scenarios!$A$72,0,$C$1)="Yes",(R$148-Q$148)*OFFSET(Scenarios!$A$77,0,$C$1),0)</f>
        <v>3.4809999999999999</v>
      </c>
      <c r="S133" s="73">
        <f ca="1">R$133 +IF(OFFSET(Scenarios!$A$72,0,$C$1)="Yes",(S$148-R$148)*OFFSET(Scenarios!$A$77,0,$C$1),0)</f>
        <v>3.4809999999999999</v>
      </c>
      <c r="T133" s="73">
        <f ca="1">S$133 +IF(OFFSET(Scenarios!$A$72,0,$C$1)="Yes",(T$148-S$148)*OFFSET(Scenarios!$A$77,0,$C$1),0)</f>
        <v>3.4809999999999999</v>
      </c>
      <c r="U133" s="73">
        <f ca="1">T$133 +IF(OFFSET(Scenarios!$A$72,0,$C$1)="Yes",(U$148-T$148)*OFFSET(Scenarios!$A$77,0,$C$1),0)</f>
        <v>3.4809999999999999</v>
      </c>
      <c r="V133" s="73">
        <f ca="1">U$133 +IF(OFFSET(Scenarios!$A$72,0,$C$1)="Yes",(V$148-U$148)*OFFSET(Scenarios!$A$77,0,$C$1),0)</f>
        <v>3.4809999999999999</v>
      </c>
      <c r="W133" s="73">
        <f ca="1">V$133 +IF(OFFSET(Scenarios!$A$72,0,$C$1)="Yes",(W$148-V$148)*OFFSET(Scenarios!$A$77,0,$C$1),0)</f>
        <v>3.4809999999999999</v>
      </c>
      <c r="X133" s="73">
        <f ca="1">W$133 +IF(OFFSET(Scenarios!$A$72,0,$C$1)="Yes",(X$148-W$148)*OFFSET(Scenarios!$A$77,0,$C$1),0)</f>
        <v>3.4809999999999999</v>
      </c>
    </row>
    <row r="134" spans="1:24" x14ac:dyDescent="0.2">
      <c r="A134" s="68" t="s">
        <v>433</v>
      </c>
      <c r="B134" s="228"/>
      <c r="C134" s="69"/>
      <c r="D134" s="69">
        <f>Data!C$45</f>
        <v>1.5169999999999999</v>
      </c>
      <c r="E134" s="69">
        <f>Data!D$45</f>
        <v>1.5620000000000001</v>
      </c>
      <c r="F134" s="69">
        <f>Data!E$45</f>
        <v>1.7569999999999999</v>
      </c>
      <c r="G134" s="69">
        <f>Data!F$45</f>
        <v>1.8140000000000001</v>
      </c>
      <c r="H134" s="69">
        <f>Data!G$45</f>
        <v>1.8089999999999999</v>
      </c>
      <c r="I134" s="69">
        <f>Data!H$45</f>
        <v>1.736</v>
      </c>
      <c r="J134" s="123">
        <f ca="1">Data!I$45 + IF(OFFSET(Scenarios!$A$72,0,$C$1)="Yes",OFFSET(Scenarios!$A$78,0,$C$1)*J$148,0)</f>
        <v>1.8220000000000001</v>
      </c>
      <c r="K134" s="123">
        <f ca="1">Data!J$45 + IF(OFFSET(Scenarios!$A$72,0,$C$1)="Yes",OFFSET(Scenarios!$A$78,0,$C$1)*K$148,0)</f>
        <v>1.9330000000000001</v>
      </c>
      <c r="L134" s="123">
        <f ca="1">Data!K$45 + IF(OFFSET(Scenarios!$A$72,0,$C$1)="Yes",OFFSET(Scenarios!$A$78,0,$C$1)*L$148,0)</f>
        <v>1.9</v>
      </c>
      <c r="M134" s="123">
        <f ca="1">Data!L$45 + IF(OFFSET(Scenarios!$A$72,0,$C$1)="Yes",OFFSET(Scenarios!$A$78,0,$C$1)*M$148,0)</f>
        <v>1.952</v>
      </c>
      <c r="N134" s="123">
        <f ca="1">Data!M$45 + IF(OFFSET(Scenarios!$A$72,0,$C$1)="Yes",OFFSET(Scenarios!$A$78,0,$C$1)*N$148,0)</f>
        <v>1.857</v>
      </c>
      <c r="O134" s="73">
        <f ca="1">N$134 +IF(OFFSET(Scenarios!$A$72,0,$C$1)="Yes",(O$148-N$148)*OFFSET(Scenarios!$A$78,0,$C$1),0)</f>
        <v>1.857</v>
      </c>
      <c r="P134" s="73">
        <f ca="1">O$134 +IF(OFFSET(Scenarios!$A$72,0,$C$1)="Yes",(P$148-O$148)*OFFSET(Scenarios!$A$78,0,$C$1),0)</f>
        <v>1.857</v>
      </c>
      <c r="Q134" s="73">
        <f ca="1">P$134 +IF(OFFSET(Scenarios!$A$72,0,$C$1)="Yes",(Q$148-P$148)*OFFSET(Scenarios!$A$78,0,$C$1),0)</f>
        <v>1.857</v>
      </c>
      <c r="R134" s="73">
        <f ca="1">Q$134 +IF(OFFSET(Scenarios!$A$72,0,$C$1)="Yes",(R$148-Q$148)*OFFSET(Scenarios!$A$78,0,$C$1),0)</f>
        <v>1.857</v>
      </c>
      <c r="S134" s="73">
        <f ca="1">R$134 +IF(OFFSET(Scenarios!$A$72,0,$C$1)="Yes",(S$148-R$148)*OFFSET(Scenarios!$A$78,0,$C$1),0)</f>
        <v>1.857</v>
      </c>
      <c r="T134" s="73">
        <f ca="1">S$134 +IF(OFFSET(Scenarios!$A$72,0,$C$1)="Yes",(T$148-S$148)*OFFSET(Scenarios!$A$78,0,$C$1),0)</f>
        <v>1.857</v>
      </c>
      <c r="U134" s="73">
        <f ca="1">T$134 +IF(OFFSET(Scenarios!$A$72,0,$C$1)="Yes",(U$148-T$148)*OFFSET(Scenarios!$A$78,0,$C$1),0)</f>
        <v>1.857</v>
      </c>
      <c r="V134" s="73">
        <f ca="1">U$134 +IF(OFFSET(Scenarios!$A$72,0,$C$1)="Yes",(V$148-U$148)*OFFSET(Scenarios!$A$78,0,$C$1),0)</f>
        <v>1.857</v>
      </c>
      <c r="W134" s="73">
        <f ca="1">V$134 +IF(OFFSET(Scenarios!$A$72,0,$C$1)="Yes",(W$148-V$148)*OFFSET(Scenarios!$A$78,0,$C$1),0)</f>
        <v>1.857</v>
      </c>
      <c r="X134" s="73">
        <f ca="1">W$134 +IF(OFFSET(Scenarios!$A$72,0,$C$1)="Yes",(X$148-W$148)*OFFSET(Scenarios!$A$78,0,$C$1),0)</f>
        <v>1.857</v>
      </c>
    </row>
    <row r="135" spans="1:24" x14ac:dyDescent="0.2">
      <c r="A135" s="68" t="s">
        <v>915</v>
      </c>
      <c r="B135" s="228"/>
      <c r="C135" s="69"/>
      <c r="D135" s="69">
        <f>Data!C$48</f>
        <v>0.438</v>
      </c>
      <c r="E135" s="69">
        <f>Data!D$48</f>
        <v>0.54100000000000004</v>
      </c>
      <c r="F135" s="69">
        <f>Data!E$48</f>
        <v>0.53400000000000003</v>
      </c>
      <c r="G135" s="69">
        <f>Data!F$48</f>
        <v>0.50700000000000001</v>
      </c>
      <c r="H135" s="69">
        <f>Data!G$48</f>
        <v>0.70599999999999996</v>
      </c>
      <c r="I135" s="69">
        <f>Data!H$48</f>
        <v>0.64800000000000002</v>
      </c>
      <c r="J135" s="123">
        <f ca="1">Data!I$48 + IF(OFFSET(Scenarios!$A$72,0,$C$1)="Yes",OFFSET(Scenarios!$A$80,0,$C$1)*J$148,0)</f>
        <v>0.68400000000000005</v>
      </c>
      <c r="K135" s="123">
        <f ca="1">Data!J$48 + IF(OFFSET(Scenarios!$A$72,0,$C$1)="Yes",OFFSET(Scenarios!$A$80,0,$C$1)*K$148,0)</f>
        <v>0.81799999999999995</v>
      </c>
      <c r="L135" s="123">
        <f ca="1">Data!K$48 + IF(OFFSET(Scenarios!$A$72,0,$C$1)="Yes",OFFSET(Scenarios!$A$80,0,$C$1)*L$148,0)</f>
        <v>0.72499999999999998</v>
      </c>
      <c r="M135" s="123">
        <f ca="1">Data!L$48 + IF(OFFSET(Scenarios!$A$72,0,$C$1)="Yes",OFFSET(Scenarios!$A$80,0,$C$1)*M$148,0)</f>
        <v>0.69799999999999995</v>
      </c>
      <c r="N135" s="123">
        <f ca="1">Data!M$48 + IF(OFFSET(Scenarios!$A$72,0,$C$1)="Yes",OFFSET(Scenarios!$A$80,0,$C$1)*N$148,0)</f>
        <v>0.66900000000000004</v>
      </c>
      <c r="O135" s="73">
        <f ca="1">N$135 +IF(OFFSET(Scenarios!$A$72,0,$C$1)="Yes",(O$148-N$148)*OFFSET(Scenarios!$A$80,0,$C$1),0)</f>
        <v>0.66900000000000004</v>
      </c>
      <c r="P135" s="73">
        <f ca="1">O$135 +IF(OFFSET(Scenarios!$A$72,0,$C$1)="Yes",(P$148-O$148)*OFFSET(Scenarios!$A$80,0,$C$1),0)</f>
        <v>0.66900000000000004</v>
      </c>
      <c r="Q135" s="73">
        <f ca="1">P$135 +IF(OFFSET(Scenarios!$A$72,0,$C$1)="Yes",(Q$148-P$148)*OFFSET(Scenarios!$A$80,0,$C$1),0)</f>
        <v>0.66900000000000004</v>
      </c>
      <c r="R135" s="73">
        <f ca="1">Q$135 +IF(OFFSET(Scenarios!$A$72,0,$C$1)="Yes",(R$148-Q$148)*OFFSET(Scenarios!$A$80,0,$C$1),0)</f>
        <v>0.66900000000000004</v>
      </c>
      <c r="S135" s="73">
        <f ca="1">R$135 +IF(OFFSET(Scenarios!$A$72,0,$C$1)="Yes",(S$148-R$148)*OFFSET(Scenarios!$A$80,0,$C$1),0)</f>
        <v>0.66900000000000004</v>
      </c>
      <c r="T135" s="73">
        <f ca="1">S$135 +IF(OFFSET(Scenarios!$A$72,0,$C$1)="Yes",(T$148-S$148)*OFFSET(Scenarios!$A$80,0,$C$1),0)</f>
        <v>0.66900000000000004</v>
      </c>
      <c r="U135" s="73">
        <f ca="1">T$135 +IF(OFFSET(Scenarios!$A$72,0,$C$1)="Yes",(U$148-T$148)*OFFSET(Scenarios!$A$80,0,$C$1),0)</f>
        <v>0.66900000000000004</v>
      </c>
      <c r="V135" s="73">
        <f ca="1">U$135 +IF(OFFSET(Scenarios!$A$72,0,$C$1)="Yes",(V$148-U$148)*OFFSET(Scenarios!$A$80,0,$C$1),0)</f>
        <v>0.66900000000000004</v>
      </c>
      <c r="W135" s="73">
        <f ca="1">V$135 +IF(OFFSET(Scenarios!$A$72,0,$C$1)="Yes",(W$148-V$148)*OFFSET(Scenarios!$A$80,0,$C$1),0)</f>
        <v>0.66900000000000004</v>
      </c>
      <c r="X135" s="73">
        <f ca="1">W$135 +IF(OFFSET(Scenarios!$A$72,0,$C$1)="Yes",(X$148-W$148)*OFFSET(Scenarios!$A$80,0,$C$1),0)</f>
        <v>0.66900000000000004</v>
      </c>
    </row>
    <row r="136" spans="1:24" x14ac:dyDescent="0.2">
      <c r="A136" s="68" t="s">
        <v>990</v>
      </c>
      <c r="B136" s="228"/>
      <c r="C136" s="69"/>
      <c r="D136" s="69">
        <f>Data!C$49</f>
        <v>0.52300000000000002</v>
      </c>
      <c r="E136" s="69">
        <f>Data!D$49</f>
        <v>0.56100000000000005</v>
      </c>
      <c r="F136" s="69">
        <f>Data!E$49</f>
        <v>0.58599999999999997</v>
      </c>
      <c r="G136" s="69">
        <f>Data!F$49</f>
        <v>0.63</v>
      </c>
      <c r="H136" s="69">
        <f>Data!G$49</f>
        <v>0.74099999999999999</v>
      </c>
      <c r="I136" s="69">
        <f>Data!H$49</f>
        <v>0.86299999999999999</v>
      </c>
      <c r="J136" s="123">
        <f ca="1">Data!I$49 + IF(OFFSET(Scenarios!$A$72,0,$C$1)="Yes",OFFSET(Scenarios!$A$82,0,$C$1)*J$148,0)</f>
        <v>0.84199999999999997</v>
      </c>
      <c r="K136" s="123">
        <f ca="1">Data!J$49 + IF(OFFSET(Scenarios!$A$72,0,$C$1)="Yes",OFFSET(Scenarios!$A$82,0,$C$1)*K$148,0)</f>
        <v>0.85399999999999998</v>
      </c>
      <c r="L136" s="123">
        <f ca="1">Data!K$49 + IF(OFFSET(Scenarios!$A$72,0,$C$1)="Yes",OFFSET(Scenarios!$A$82,0,$C$1)*L$148,0)</f>
        <v>0.80800000000000005</v>
      </c>
      <c r="M136" s="123">
        <f ca="1">Data!L$49 + IF(OFFSET(Scenarios!$A$72,0,$C$1)="Yes",OFFSET(Scenarios!$A$82,0,$C$1)*M$148,0)</f>
        <v>0.80100000000000005</v>
      </c>
      <c r="N136" s="123">
        <f ca="1">Data!M$49 + IF(OFFSET(Scenarios!$A$72,0,$C$1)="Yes",OFFSET(Scenarios!$A$82,0,$C$1)*N$148,0)</f>
        <v>0.79900000000000004</v>
      </c>
      <c r="O136" s="73">
        <f ca="1">N$136 +IF(OFFSET(Scenarios!$A$72,0,$C$1)="Yes",(O$148-N$148)*OFFSET(Scenarios!$A$82,0,$C$1),0)</f>
        <v>0.79900000000000004</v>
      </c>
      <c r="P136" s="73">
        <f ca="1">O$136 +IF(OFFSET(Scenarios!$A$72,0,$C$1)="Yes",(P$148-O$148)*OFFSET(Scenarios!$A$82,0,$C$1),0)</f>
        <v>0.79900000000000004</v>
      </c>
      <c r="Q136" s="73">
        <f ca="1">P$136 +IF(OFFSET(Scenarios!$A$72,0,$C$1)="Yes",(Q$148-P$148)*OFFSET(Scenarios!$A$82,0,$C$1),0)</f>
        <v>0.79900000000000004</v>
      </c>
      <c r="R136" s="73">
        <f ca="1">Q$136 +IF(OFFSET(Scenarios!$A$72,0,$C$1)="Yes",(R$148-Q$148)*OFFSET(Scenarios!$A$82,0,$C$1),0)</f>
        <v>0.79900000000000004</v>
      </c>
      <c r="S136" s="73">
        <f ca="1">R$136 +IF(OFFSET(Scenarios!$A$72,0,$C$1)="Yes",(S$148-R$148)*OFFSET(Scenarios!$A$82,0,$C$1),0)</f>
        <v>0.79900000000000004</v>
      </c>
      <c r="T136" s="73">
        <f ca="1">S$136 +IF(OFFSET(Scenarios!$A$72,0,$C$1)="Yes",(T$148-S$148)*OFFSET(Scenarios!$A$82,0,$C$1),0)</f>
        <v>0.79900000000000004</v>
      </c>
      <c r="U136" s="73">
        <f ca="1">T$136 +IF(OFFSET(Scenarios!$A$72,0,$C$1)="Yes",(U$148-T$148)*OFFSET(Scenarios!$A$82,0,$C$1),0)</f>
        <v>0.79900000000000004</v>
      </c>
      <c r="V136" s="73">
        <f ca="1">U$136 +IF(OFFSET(Scenarios!$A$72,0,$C$1)="Yes",(V$148-U$148)*OFFSET(Scenarios!$A$82,0,$C$1),0)</f>
        <v>0.79900000000000004</v>
      </c>
      <c r="W136" s="73">
        <f ca="1">V$136 +IF(OFFSET(Scenarios!$A$72,0,$C$1)="Yes",(W$148-V$148)*OFFSET(Scenarios!$A$82,0,$C$1),0)</f>
        <v>0.79900000000000004</v>
      </c>
      <c r="X136" s="73">
        <f ca="1">W$136 +IF(OFFSET(Scenarios!$A$72,0,$C$1)="Yes",(X$148-W$148)*OFFSET(Scenarios!$A$82,0,$C$1),0)</f>
        <v>0.79900000000000004</v>
      </c>
    </row>
    <row r="137" spans="1:24" x14ac:dyDescent="0.2">
      <c r="A137" s="157" t="s">
        <v>977</v>
      </c>
      <c r="B137" s="228"/>
      <c r="C137" s="69"/>
      <c r="D137" s="173">
        <f>SUM(Data!C$51:C$52)</f>
        <v>0.32300000000000001</v>
      </c>
      <c r="E137" s="173">
        <f>SUM(Data!D$51:D$52)</f>
        <v>0.51400000000000001</v>
      </c>
      <c r="F137" s="173">
        <f>SUM(Data!E$51:E$52)</f>
        <v>0.41499999999999998</v>
      </c>
      <c r="G137" s="173">
        <f>SUM(Data!F$51:F$52)</f>
        <v>0.38600000000000001</v>
      </c>
      <c r="H137" s="173">
        <f>SUM(Data!G$51:G$52)</f>
        <v>1.355</v>
      </c>
      <c r="I137" s="173">
        <f>SUM(Data!H$51:H$52)</f>
        <v>0.29499999999999998</v>
      </c>
      <c r="J137" s="127">
        <f ca="1">SUM(Data!I$51:I$52) + IF(OFFSET(Scenarios!$A$72,0,$C$1)="Yes",(1-SUM(OFFSET(Scenarios!$A$73,0,$C$1,10,1)))*J$148,0)</f>
        <v>0.97399999999999998</v>
      </c>
      <c r="K137" s="127">
        <f ca="1">SUM(Data!J$51:J$52) + IF(OFFSET(Scenarios!$A$72,0,$C$1)="Yes",(1-SUM(OFFSET(Scenarios!$A$73,0,$C$1,10,1)))*K$148,0)</f>
        <v>1.0629999999999999</v>
      </c>
      <c r="L137" s="127">
        <f ca="1">SUM(Data!K$51:K$52) + IF(OFFSET(Scenarios!$A$72,0,$C$1)="Yes",(1-SUM(OFFSET(Scenarios!$A$73,0,$C$1,10,1)))*L$148,0)</f>
        <v>0.79699999999999993</v>
      </c>
      <c r="M137" s="127">
        <f ca="1">SUM(Data!L$51:L$52) + IF(OFFSET(Scenarios!$A$72,0,$C$1)="Yes",(1-SUM(OFFSET(Scenarios!$A$73,0,$C$1,10,1)))*M$148,0)</f>
        <v>0.96499999999999997</v>
      </c>
      <c r="N137" s="127">
        <f ca="1">SUM(Data!M$51:M$52) + IF(OFFSET(Scenarios!$A$72,0,$C$1)="Yes",(1-SUM(OFFSET(Scenarios!$A$73,0,$C$1,10,1)))*N$148,0)</f>
        <v>0.90399999999999991</v>
      </c>
      <c r="O137" s="81">
        <f ca="1">N$137 +IF(OFFSET(Scenarios!$A$72,0,$C$1)="Yes",(O$148-N$148)*(1-SUM(OFFSET(Scenarios!$A$73,0,$C$1,10,1))),0)-0.704</f>
        <v>0.19999999999999996</v>
      </c>
      <c r="P137" s="81">
        <f ca="1">O$137 +IF(OFFSET(Scenarios!$A$72,0,$C$1)="Yes",(P$148-O$148)*(1-SUM(OFFSET(Scenarios!$A$73,0,$C$1,10,1))),0)</f>
        <v>0.19999999999999996</v>
      </c>
      <c r="Q137" s="81">
        <f ca="1">P$137 +IF(OFFSET(Scenarios!$A$72,0,$C$1)="Yes",(Q$148-P$148)*(1-SUM(OFFSET(Scenarios!$A$73,0,$C$1,10,1))),0)</f>
        <v>0.19999999999999996</v>
      </c>
      <c r="R137" s="81">
        <f ca="1">Q$137 +IF(OFFSET(Scenarios!$A$72,0,$C$1)="Yes",(R$148-Q$148)*(1-SUM(OFFSET(Scenarios!$A$73,0,$C$1,10,1))),0)</f>
        <v>0.19999999999999996</v>
      </c>
      <c r="S137" s="81">
        <f ca="1">R$137 +IF(OFFSET(Scenarios!$A$72,0,$C$1)="Yes",(S$148-R$148)*(1-SUM(OFFSET(Scenarios!$A$73,0,$C$1,10,1))),0)</f>
        <v>0.19999999999999996</v>
      </c>
      <c r="T137" s="81">
        <f ca="1">S$137 +IF(OFFSET(Scenarios!$A$72,0,$C$1)="Yes",(T$148-S$148)*(1-SUM(OFFSET(Scenarios!$A$73,0,$C$1,10,1))),0)</f>
        <v>0.19999999999999996</v>
      </c>
      <c r="U137" s="81">
        <f ca="1">T$137 +IF(OFFSET(Scenarios!$A$72,0,$C$1)="Yes",(U$148-T$148)*(1-SUM(OFFSET(Scenarios!$A$73,0,$C$1,10,1))),0)</f>
        <v>0.19999999999999996</v>
      </c>
      <c r="V137" s="81">
        <f ca="1">U$137 +IF(OFFSET(Scenarios!$A$72,0,$C$1)="Yes",(V$148-U$148)*(1-SUM(OFFSET(Scenarios!$A$73,0,$C$1,10,1))),0)</f>
        <v>0.19999999999999996</v>
      </c>
      <c r="W137" s="81">
        <f ca="1">V$137 +IF(OFFSET(Scenarios!$A$72,0,$C$1)="Yes",(W$148-V$148)*(1-SUM(OFFSET(Scenarios!$A$73,0,$C$1,10,1))),0)</f>
        <v>0.19999999999999996</v>
      </c>
      <c r="X137" s="81">
        <f ca="1">W$137 +IF(OFFSET(Scenarios!$A$72,0,$C$1)="Yes",(X$148-W$148)*(1-SUM(OFFSET(Scenarios!$A$73,0,$C$1,10,1))),0)</f>
        <v>0.19999999999999996</v>
      </c>
    </row>
    <row r="138" spans="1:24" x14ac:dyDescent="0.2">
      <c r="A138" s="27" t="s">
        <v>144</v>
      </c>
      <c r="B138" s="36"/>
      <c r="C138" s="69"/>
      <c r="D138" s="71">
        <f>SUM(D$132:D$137)</f>
        <v>10.316000000000001</v>
      </c>
      <c r="E138" s="71">
        <f t="shared" ref="E138:X138" si="64">SUM(E$132:E$137)</f>
        <v>9.4429999999999996</v>
      </c>
      <c r="F138" s="71">
        <f t="shared" si="64"/>
        <v>11.673999999999999</v>
      </c>
      <c r="G138" s="71">
        <f t="shared" si="64"/>
        <v>9.5020000000000007</v>
      </c>
      <c r="H138" s="71">
        <f t="shared" si="64"/>
        <v>13.555999999999999</v>
      </c>
      <c r="I138" s="71">
        <f t="shared" si="64"/>
        <v>12.372999999999999</v>
      </c>
      <c r="J138" s="128">
        <f t="shared" ca="1" si="64"/>
        <v>13.405000000000001</v>
      </c>
      <c r="K138" s="128">
        <f t="shared" ca="1" si="64"/>
        <v>12.866</v>
      </c>
      <c r="L138" s="128">
        <f t="shared" ca="1" si="64"/>
        <v>11.957000000000001</v>
      </c>
      <c r="M138" s="128">
        <f t="shared" ca="1" si="64"/>
        <v>12.202</v>
      </c>
      <c r="N138" s="128">
        <f t="shared" ca="1" si="64"/>
        <v>11.913</v>
      </c>
      <c r="O138" s="75">
        <f t="shared" ca="1" si="64"/>
        <v>11.125999999999999</v>
      </c>
      <c r="P138" s="75">
        <f t="shared" ca="1" si="64"/>
        <v>11.125999999999999</v>
      </c>
      <c r="Q138" s="75">
        <f t="shared" ca="1" si="64"/>
        <v>11.125999999999999</v>
      </c>
      <c r="R138" s="75">
        <f t="shared" ca="1" si="64"/>
        <v>11.125999999999999</v>
      </c>
      <c r="S138" s="75">
        <f t="shared" ca="1" si="64"/>
        <v>11.125999999999999</v>
      </c>
      <c r="T138" s="75">
        <f t="shared" ca="1" si="64"/>
        <v>11.125999999999999</v>
      </c>
      <c r="U138" s="75">
        <f t="shared" ca="1" si="64"/>
        <v>11.125999999999999</v>
      </c>
      <c r="V138" s="75">
        <f t="shared" ca="1" si="64"/>
        <v>11.125999999999999</v>
      </c>
      <c r="W138" s="75">
        <f t="shared" ca="1" si="64"/>
        <v>11.125999999999999</v>
      </c>
      <c r="X138" s="75">
        <f t="shared" ca="1" si="64"/>
        <v>11.125999999999999</v>
      </c>
    </row>
    <row r="139" spans="1:24" x14ac:dyDescent="0.2">
      <c r="A139" s="27" t="s">
        <v>412</v>
      </c>
      <c r="B139" s="228"/>
      <c r="C139" s="69"/>
      <c r="D139" s="71">
        <f>SUM(Data!C$24:C$26,Data!C$29:C$30,Data!C$32:C$33)</f>
        <v>12.822000000000001</v>
      </c>
      <c r="E139" s="71">
        <f>SUM(Data!D$24:D$26,Data!D$29:D$30,Data!D$32:D$33)</f>
        <v>12.328000000000001</v>
      </c>
      <c r="F139" s="71">
        <f>SUM(Data!E$24:E$26,Data!E$29:E$30,Data!E$32:E$33)</f>
        <v>14.76</v>
      </c>
      <c r="G139" s="71">
        <f>SUM(Data!F$24:F$26,Data!F$29:F$30,Data!F$32:F$33)</f>
        <v>12.427999999999999</v>
      </c>
      <c r="H139" s="71">
        <f>SUM(Data!G$24:G$26,Data!G$29:G$30,Data!G$32:G$33)</f>
        <v>16.809000000000001</v>
      </c>
      <c r="I139" s="71">
        <f>SUM(Data!H$24:H$26,Data!H$29:H$30,Data!H$32:H$33)</f>
        <v>15.676000000000002</v>
      </c>
      <c r="J139" s="128">
        <f ca="1">SUM(Data!I$24:I$26,Data!I$29:I$30,Data!I$32:I$33) + IF(OFFSET(Scenarios!$A$72,0,$C$1)="Yes",(1-SUM(OFFSET(Scenarios!$A$73,0,$C$1,3,1),OFFSET(Scenarios!$A$79,0,$C$1),OFFSET(Scenarios!$A$81,0,$C$1)))*J$148,0)</f>
        <v>17.049999999999997</v>
      </c>
      <c r="K139" s="128">
        <f ca="1">SUM(Data!J$24:J$26,Data!J$29:J$30,Data!J$32:J$33) + IF(OFFSET(Scenarios!$A$72,0,$C$1)="Yes",(1-SUM(OFFSET(Scenarios!$A$73,0,$C$1,3,1),OFFSET(Scenarios!$A$79,0,$C$1),OFFSET(Scenarios!$A$81,0,$C$1)))*K$148,0)</f>
        <v>16.663</v>
      </c>
      <c r="L139" s="128">
        <f ca="1">SUM(Data!K$24:K$26,Data!K$29:K$30,Data!K$32:K$33) + IF(OFFSET(Scenarios!$A$72,0,$C$1)="Yes",(1-SUM(OFFSET(Scenarios!$A$73,0,$C$1,3,1),OFFSET(Scenarios!$A$79,0,$C$1),OFFSET(Scenarios!$A$81,0,$C$1)))*L$148,0)</f>
        <v>15.893000000000001</v>
      </c>
      <c r="M139" s="128">
        <f ca="1">SUM(Data!L$24:L$26,Data!L$29:L$30,Data!L$32:L$33) + IF(OFFSET(Scenarios!$A$72,0,$C$1)="Yes",(1-SUM(OFFSET(Scenarios!$A$73,0,$C$1,3,1),OFFSET(Scenarios!$A$79,0,$C$1),OFFSET(Scenarios!$A$81,0,$C$1)))*M$148,0)</f>
        <v>16.245000000000001</v>
      </c>
      <c r="N139" s="128">
        <f ca="1">SUM(Data!M$24:M$26,Data!M$29:M$30,Data!M$32:M$33) + IF(OFFSET(Scenarios!$A$72,0,$C$1)="Yes",(1-SUM(OFFSET(Scenarios!$A$73,0,$C$1,3,1),OFFSET(Scenarios!$A$79,0,$C$1),OFFSET(Scenarios!$A$81,0,$C$1)))*N$148,0)</f>
        <v>16.062999999999999</v>
      </c>
      <c r="O139" s="105">
        <f t="shared" ref="O139:X139" ca="1" si="65">SUM(O$138,(N$139-N$138)*(1+O$245))</f>
        <v>15.462222197850569</v>
      </c>
      <c r="P139" s="105">
        <f t="shared" ca="1" si="65"/>
        <v>15.65731123526521</v>
      </c>
      <c r="Q139" s="105">
        <f t="shared" ca="1" si="65"/>
        <v>15.866400916806665</v>
      </c>
      <c r="R139" s="105">
        <f t="shared" ca="1" si="65"/>
        <v>16.085720308701024</v>
      </c>
      <c r="S139" s="105">
        <f t="shared" ca="1" si="65"/>
        <v>16.313794968179764</v>
      </c>
      <c r="T139" s="105">
        <f t="shared" ca="1" si="65"/>
        <v>16.548020135821741</v>
      </c>
      <c r="U139" s="105">
        <f t="shared" ca="1" si="65"/>
        <v>16.788940381470265</v>
      </c>
      <c r="V139" s="105">
        <f t="shared" ca="1" si="65"/>
        <v>17.039152338758107</v>
      </c>
      <c r="W139" s="105">
        <f t="shared" ca="1" si="65"/>
        <v>17.297165029041587</v>
      </c>
      <c r="X139" s="105">
        <f t="shared" ca="1" si="65"/>
        <v>17.562454526060588</v>
      </c>
    </row>
    <row r="140" spans="1:24" x14ac:dyDescent="0.2">
      <c r="A140" s="27"/>
      <c r="B140" s="100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1:24" x14ac:dyDescent="0.2">
      <c r="A141" s="106" t="s">
        <v>586</v>
      </c>
      <c r="B141" s="100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1:24" x14ac:dyDescent="0.2">
      <c r="A142" s="27" t="s">
        <v>423</v>
      </c>
      <c r="B142" s="228"/>
      <c r="C142" s="69"/>
      <c r="D142" s="71">
        <f>Data!C$53</f>
        <v>2.3290000000000002</v>
      </c>
      <c r="E142" s="71">
        <f>Data!D$53</f>
        <v>2.46</v>
      </c>
      <c r="F142" s="71">
        <f>Data!E$53</f>
        <v>2.4289999999999998</v>
      </c>
      <c r="G142" s="71">
        <f>Data!F$53</f>
        <v>2.3109999999999999</v>
      </c>
      <c r="H142" s="71">
        <f>Data!G$53</f>
        <v>3.0659999999999998</v>
      </c>
      <c r="I142" s="71">
        <f>Data!H$53</f>
        <v>3.5110000000000001</v>
      </c>
      <c r="J142" s="128">
        <f>Data!I$53</f>
        <v>3.5569999999999999</v>
      </c>
      <c r="K142" s="128">
        <f>Data!J$53</f>
        <v>3.6219999999999999</v>
      </c>
      <c r="L142" s="128">
        <f>Data!K$53</f>
        <v>3.9279999999999999</v>
      </c>
      <c r="M142" s="128">
        <f>Data!L$53</f>
        <v>3.883</v>
      </c>
      <c r="N142" s="128">
        <f>Data!M$53</f>
        <v>4.2729999999999997</v>
      </c>
      <c r="O142" s="42">
        <f t="shared" ref="O142:X142" ca="1" si="66">(N$234+(O$34-N$34-(O$36-N$36)-SUM(O$21,O$23,N$67)+SUM(O$20,N$142))/2)*O$143</f>
        <v>4.4996144584885451</v>
      </c>
      <c r="P142" s="42">
        <f t="shared" ca="1" si="66"/>
        <v>4.5071589883642185</v>
      </c>
      <c r="Q142" s="42">
        <f t="shared" ca="1" si="66"/>
        <v>4.4089286720917871</v>
      </c>
      <c r="R142" s="42">
        <f t="shared" ca="1" si="66"/>
        <v>4.2396224856547837</v>
      </c>
      <c r="S142" s="42">
        <f t="shared" ca="1" si="66"/>
        <v>4.0028072839928805</v>
      </c>
      <c r="T142" s="42">
        <f t="shared" ca="1" si="66"/>
        <v>3.651358962995491</v>
      </c>
      <c r="U142" s="42">
        <f t="shared" ca="1" si="66"/>
        <v>3.1658326649566439</v>
      </c>
      <c r="V142" s="42">
        <f t="shared" ca="1" si="66"/>
        <v>2.5274898347659214</v>
      </c>
      <c r="W142" s="42">
        <f t="shared" ca="1" si="66"/>
        <v>1.7159867169512268</v>
      </c>
      <c r="X142" s="42">
        <f t="shared" ca="1" si="66"/>
        <v>0.69395877244680249</v>
      </c>
    </row>
    <row r="143" spans="1:24" x14ac:dyDescent="0.2">
      <c r="A143" s="412" t="s">
        <v>1041</v>
      </c>
      <c r="B143" s="69"/>
      <c r="C143" s="69"/>
      <c r="D143" s="387"/>
      <c r="E143" s="387">
        <f t="shared" ref="E143:N143" si="67">E$142/SUM(D$234,(E$234-D$234)/2)</f>
        <v>6.7187414650133823E-2</v>
      </c>
      <c r="F143" s="387">
        <f t="shared" si="67"/>
        <v>5.5279298141805391E-2</v>
      </c>
      <c r="G143" s="387">
        <f t="shared" si="67"/>
        <v>4.2353932996114653E-2</v>
      </c>
      <c r="H143" s="387">
        <f t="shared" si="67"/>
        <v>4.5265302506865085E-2</v>
      </c>
      <c r="I143" s="387">
        <f t="shared" si="67"/>
        <v>4.3462383560795965E-2</v>
      </c>
      <c r="J143" s="324">
        <f t="shared" si="67"/>
        <v>4.1849520560032938E-2</v>
      </c>
      <c r="K143" s="324">
        <f t="shared" si="67"/>
        <v>4.0286073386944281E-2</v>
      </c>
      <c r="L143" s="324">
        <f t="shared" si="67"/>
        <v>4.2558493550676348E-2</v>
      </c>
      <c r="M143" s="324">
        <f t="shared" si="67"/>
        <v>4.2052709383613197E-2</v>
      </c>
      <c r="N143" s="324">
        <f t="shared" si="67"/>
        <v>4.3677585211156028E-2</v>
      </c>
      <c r="O143" s="315">
        <f ca="1">IF(O$2="Proj Yr1",IF(N$143&lt;OFFSET(Scenarios!$A$8,0,$C$1),MIN(N$143+(OFFSET(Scenarios!$A$8,0,$C$1)-N$143)/(OFFSET(Scenarios!$A$19,0,$C$1)-N$4),OFFSET(Scenarios!$A$8,0,$C$1)),MAX(N$143+(OFFSET(Scenarios!$A$8,0,$C$1)-N$143)/(OFFSET(Scenarios!$A$19,0,$C$1)-N$4),OFFSET(Scenarios!$A$8,0,$C$1))),IF(M$143&lt;N$143,MIN(N$143+N$143-M$143,OFFSET(Scenarios!$A$8,0,$C$1)),MAX(N$143+N$143-M$143,OFFSET(Scenarios!$A$8,0,$C$1))))</f>
        <v>4.4935631298805359E-2</v>
      </c>
      <c r="P143" s="315">
        <f ca="1">IF(P$2="Proj Yr1",IF(O$143&lt;OFFSET(Scenarios!$A$8,0,$C$1),MIN(O$143+(OFFSET(Scenarios!$A$8,0,$C$1)-O$143)/(OFFSET(Scenarios!$A$19,0,$C$1)-O$4),OFFSET(Scenarios!$A$8,0,$C$1)),MAX(O$143+(OFFSET(Scenarios!$A$8,0,$C$1)-O$143)/(OFFSET(Scenarios!$A$19,0,$C$1)-O$4),OFFSET(Scenarios!$A$8,0,$C$1))),IF(N$143&lt;O$143,MIN(O$143+O$143-N$143,OFFSET(Scenarios!$A$8,0,$C$1)),MAX(O$143+O$143-N$143,OFFSET(Scenarios!$A$8,0,$C$1))))</f>
        <v>4.619367738645469E-2</v>
      </c>
      <c r="Q143" s="315">
        <f ca="1">IF(Q$2="Proj Yr1",IF(P$143&lt;OFFSET(Scenarios!$A$8,0,$C$1),MIN(P$143+(OFFSET(Scenarios!$A$8,0,$C$1)-P$143)/(OFFSET(Scenarios!$A$19,0,$C$1)-P$4),OFFSET(Scenarios!$A$8,0,$C$1)),MAX(P$143+(OFFSET(Scenarios!$A$8,0,$C$1)-P$143)/(OFFSET(Scenarios!$A$19,0,$C$1)-P$4),OFFSET(Scenarios!$A$8,0,$C$1))),IF(O$143&lt;P$143,MIN(P$143+P$143-O$143,OFFSET(Scenarios!$A$8,0,$C$1)),MAX(P$143+P$143-O$143,OFFSET(Scenarios!$A$8,0,$C$1))))</f>
        <v>4.7451723474104021E-2</v>
      </c>
      <c r="R143" s="315">
        <f ca="1">IF(R$2="Proj Yr1",IF(Q$143&lt;OFFSET(Scenarios!$A$8,0,$C$1),MIN(Q$143+(OFFSET(Scenarios!$A$8,0,$C$1)-Q$143)/(OFFSET(Scenarios!$A$19,0,$C$1)-Q$4),OFFSET(Scenarios!$A$8,0,$C$1)),MAX(Q$143+(OFFSET(Scenarios!$A$8,0,$C$1)-Q$143)/(OFFSET(Scenarios!$A$19,0,$C$1)-Q$4),OFFSET(Scenarios!$A$8,0,$C$1))),IF(P$143&lt;Q$143,MIN(Q$143+Q$143-P$143,OFFSET(Scenarios!$A$8,0,$C$1)),MAX(Q$143+Q$143-P$143,OFFSET(Scenarios!$A$8,0,$C$1))))</f>
        <v>4.8709769561753352E-2</v>
      </c>
      <c r="S143" s="315">
        <f ca="1">IF(S$2="Proj Yr1",IF(R$143&lt;OFFSET(Scenarios!$A$8,0,$C$1),MIN(R$143+(OFFSET(Scenarios!$A$8,0,$C$1)-R$143)/(OFFSET(Scenarios!$A$19,0,$C$1)-R$4),OFFSET(Scenarios!$A$8,0,$C$1)),MAX(R$143+(OFFSET(Scenarios!$A$8,0,$C$1)-R$143)/(OFFSET(Scenarios!$A$19,0,$C$1)-R$4),OFFSET(Scenarios!$A$8,0,$C$1))),IF(Q$143&lt;R$143,MIN(R$143+R$143-Q$143,OFFSET(Scenarios!$A$8,0,$C$1)),MAX(R$143+R$143-Q$143,OFFSET(Scenarios!$A$8,0,$C$1))))</f>
        <v>4.9967815649402683E-2</v>
      </c>
      <c r="T143" s="315">
        <f ca="1">IF(T$2="Proj Yr1",IF(S$143&lt;OFFSET(Scenarios!$A$8,0,$C$1),MIN(S$143+(OFFSET(Scenarios!$A$8,0,$C$1)-S$143)/(OFFSET(Scenarios!$A$19,0,$C$1)-S$4),OFFSET(Scenarios!$A$8,0,$C$1)),MAX(S$143+(OFFSET(Scenarios!$A$8,0,$C$1)-S$143)/(OFFSET(Scenarios!$A$19,0,$C$1)-S$4),OFFSET(Scenarios!$A$8,0,$C$1))),IF(R$143&lt;S$143,MIN(S$143+S$143-R$143,OFFSET(Scenarios!$A$8,0,$C$1)),MAX(S$143+S$143-R$143,OFFSET(Scenarios!$A$8,0,$C$1))))</f>
        <v>5.1225861737052014E-2</v>
      </c>
      <c r="U143" s="315">
        <f ca="1">IF(U$2="Proj Yr1",IF(T$143&lt;OFFSET(Scenarios!$A$8,0,$C$1),MIN(T$143+(OFFSET(Scenarios!$A$8,0,$C$1)-T$143)/(OFFSET(Scenarios!$A$19,0,$C$1)-T$4),OFFSET(Scenarios!$A$8,0,$C$1)),MAX(T$143+(OFFSET(Scenarios!$A$8,0,$C$1)-T$143)/(OFFSET(Scenarios!$A$19,0,$C$1)-T$4),OFFSET(Scenarios!$A$8,0,$C$1))),IF(S$143&lt;T$143,MIN(T$143+T$143-S$143,OFFSET(Scenarios!$A$8,0,$C$1)),MAX(T$143+T$143-S$143,OFFSET(Scenarios!$A$8,0,$C$1))))</f>
        <v>5.2483907824701345E-2</v>
      </c>
      <c r="V143" s="315">
        <f ca="1">IF(V$2="Proj Yr1",IF(U$143&lt;OFFSET(Scenarios!$A$8,0,$C$1),MIN(U$143+(OFFSET(Scenarios!$A$8,0,$C$1)-U$143)/(OFFSET(Scenarios!$A$19,0,$C$1)-U$4),OFFSET(Scenarios!$A$8,0,$C$1)),MAX(U$143+(OFFSET(Scenarios!$A$8,0,$C$1)-U$143)/(OFFSET(Scenarios!$A$19,0,$C$1)-U$4),OFFSET(Scenarios!$A$8,0,$C$1))),IF(T$143&lt;U$143,MIN(U$143+U$143-T$143,OFFSET(Scenarios!$A$8,0,$C$1)),MAX(U$143+U$143-T$143,OFFSET(Scenarios!$A$8,0,$C$1))))</f>
        <v>5.3741953912350676E-2</v>
      </c>
      <c r="W143" s="315">
        <f ca="1">IF(W$2="Proj Yr1",IF(V$143&lt;OFFSET(Scenarios!$A$8,0,$C$1),MIN(V$143+(OFFSET(Scenarios!$A$8,0,$C$1)-V$143)/(OFFSET(Scenarios!$A$19,0,$C$1)-V$4),OFFSET(Scenarios!$A$8,0,$C$1)),MAX(V$143+(OFFSET(Scenarios!$A$8,0,$C$1)-V$143)/(OFFSET(Scenarios!$A$19,0,$C$1)-V$4),OFFSET(Scenarios!$A$8,0,$C$1))),IF(U$143&lt;V$143,MIN(V$143+V$143-U$143,OFFSET(Scenarios!$A$8,0,$C$1)),MAX(V$143+V$143-U$143,OFFSET(Scenarios!$A$8,0,$C$1))))</f>
        <v>5.5E-2</v>
      </c>
      <c r="X143" s="315">
        <f ca="1">IF(X$2="Proj Yr1",IF(W$143&lt;OFFSET(Scenarios!$A$8,0,$C$1),MIN(W$143+(OFFSET(Scenarios!$A$8,0,$C$1)-W$143)/(OFFSET(Scenarios!$A$19,0,$C$1)-W$4),OFFSET(Scenarios!$A$8,0,$C$1)),MAX(W$143+(OFFSET(Scenarios!$A$8,0,$C$1)-W$143)/(OFFSET(Scenarios!$A$19,0,$C$1)-W$4),OFFSET(Scenarios!$A$8,0,$C$1))),IF(V$143&lt;W$143,MIN(W$143+W$143-V$143,OFFSET(Scenarios!$A$8,0,$C$1)),MAX(W$143+W$143-V$143,OFFSET(Scenarios!$A$8,0,$C$1))))</f>
        <v>5.5E-2</v>
      </c>
    </row>
    <row r="144" spans="1:24" x14ac:dyDescent="0.2">
      <c r="A144" s="27" t="s">
        <v>424</v>
      </c>
      <c r="B144" s="228"/>
      <c r="C144" s="69"/>
      <c r="D144" s="71">
        <f>Data!C$34</f>
        <v>2.8849999999999998</v>
      </c>
      <c r="E144" s="71">
        <f>Data!D$34</f>
        <v>3.101</v>
      </c>
      <c r="F144" s="71">
        <f>Data!E$34</f>
        <v>3.07</v>
      </c>
      <c r="G144" s="71">
        <f>Data!F$34</f>
        <v>2.7770000000000001</v>
      </c>
      <c r="H144" s="71">
        <f>Data!G$34</f>
        <v>3.5960000000000001</v>
      </c>
      <c r="I144" s="71">
        <f>Data!H$34</f>
        <v>4.29</v>
      </c>
      <c r="J144" s="128">
        <f>Data!I$34</f>
        <v>4.3010000000000002</v>
      </c>
      <c r="K144" s="128">
        <f>Data!J$34</f>
        <v>4.516</v>
      </c>
      <c r="L144" s="128">
        <f>Data!K$34</f>
        <v>4.9340000000000002</v>
      </c>
      <c r="M144" s="128">
        <f>Data!L$34</f>
        <v>5.0309999999999997</v>
      </c>
      <c r="N144" s="128">
        <f>Data!M$34</f>
        <v>5.5949999999999998</v>
      </c>
      <c r="O144" s="42">
        <f ca="1">(SUM(N$231,N$232)+SUM(O$231-N$231,IF(N$234&lt;=0,OFFSET(Scenarios!$A$49,0,$C$1),N$232/N$234)*(O$34-N$34-(O$36-N$36)-SUM(O$21,O$23,N$67)+SUM(O$20,N$142)))/2)*O$145</f>
        <v>5.8876491851106776</v>
      </c>
      <c r="P144" s="42">
        <f ca="1">(SUM(O$231,O$232)+SUM(P$231-O$231,IF(O$234&lt;=0,OFFSET(Scenarios!$A$49,0,$C$1),O$232/O$234)*(P$34-O$34-(P$36-O$36)-SUM(P$21,P$23,O$67)+SUM(P$20,O$142)))/2)*P$145</f>
        <v>5.9647268510862368</v>
      </c>
      <c r="Q144" s="42">
        <f ca="1">(SUM(P$231,P$232)+SUM(Q$231-P$231,IF(P$234&lt;=0,OFFSET(Scenarios!$A$49,0,$C$1),P$232/P$234)*(Q$34-P$34-(Q$36-P$36)-SUM(Q$21,Q$23,P$67)+SUM(Q$20,P$142)))/2)*Q$145</f>
        <v>5.9539822712831203</v>
      </c>
      <c r="R144" s="42">
        <f ca="1">(SUM(Q$231,Q$232)+SUM(R$231-Q$231,IF(Q$234&lt;=0,OFFSET(Scenarios!$A$49,0,$C$1),Q$232/Q$234)*(R$34-Q$34-(R$36-Q$36)-SUM(R$21,R$23,Q$67)+SUM(R$20,Q$142)))/2)*R$145</f>
        <v>5.889849390574625</v>
      </c>
      <c r="S144" s="42">
        <f ca="1">(SUM(R$231,R$232)+SUM(S$231-R$231,IF(R$234&lt;=0,OFFSET(Scenarios!$A$49,0,$C$1),R$232/R$234)*(S$34-R$34-(S$36-R$36)-SUM(S$21,S$23,R$67)+SUM(S$20,R$142)))/2)*S$145</f>
        <v>5.7759932929310347</v>
      </c>
      <c r="T144" s="42">
        <f ca="1">(SUM(S$231,S$232)+SUM(T$231-S$231,IF(S$234&lt;=0,OFFSET(Scenarios!$A$49,0,$C$1),S$232/S$234)*(T$34-S$34-(T$36-S$36)-SUM(T$21,T$23,S$67)+SUM(T$20,S$142)))/2)*T$145</f>
        <v>5.5705329962568637</v>
      </c>
      <c r="U144" s="42">
        <f ca="1">(SUM(T$231,T$232)+SUM(U$231-T$231,IF(T$234&lt;=0,OFFSET(Scenarios!$A$49,0,$C$1),T$232/T$234)*(U$34-T$34-(U$36-T$36)-SUM(U$21,U$23,T$67)+SUM(U$20,T$142)))/2)*U$145</f>
        <v>5.2577604003685066</v>
      </c>
      <c r="V144" s="42">
        <f ca="1">(SUM(U$231,U$232)+SUM(V$231-U$231,IF(U$234&lt;=0,OFFSET(Scenarios!$A$49,0,$C$1),U$232/U$234)*(V$34-U$34-(V$36-U$36)-SUM(V$21,V$23,U$67)+SUM(V$20,U$142)))/2)*V$145</f>
        <v>4.824030557338018</v>
      </c>
      <c r="W144" s="42">
        <f ca="1">(SUM(V$231,V$232)+SUM(W$231-V$231,IF(V$234&lt;=0,OFFSET(Scenarios!$A$49,0,$C$1),V$232/V$234)*(W$34-V$34-(W$36-V$36)-SUM(W$21,W$23,V$67)+SUM(W$20,V$142)))/2)*W$145</f>
        <v>4.2541258847952621</v>
      </c>
      <c r="X144" s="42">
        <f ca="1">(SUM(W$231,W$232)+SUM(X$231-W$231,IF(W$234&lt;=0,OFFSET(Scenarios!$A$49,0,$C$1),W$232/W$234)*(X$34-W$34-(X$36-W$36)-SUM(X$21,X$23,W$67)+SUM(X$20,W$142)))/2)*X$145</f>
        <v>3.4748587602634684</v>
      </c>
    </row>
    <row r="145" spans="1:24" x14ac:dyDescent="0.2">
      <c r="A145" s="412" t="s">
        <v>1042</v>
      </c>
      <c r="B145" s="228"/>
      <c r="C145" s="69"/>
      <c r="D145" s="387"/>
      <c r="E145" s="387">
        <f t="shared" ref="E145:N145" si="68">E$144/SUM(D$231,D$232,SUM(E$231-D$231,E$232-D$232)/2)</f>
        <v>7.0470866284883193E-2</v>
      </c>
      <c r="F145" s="387">
        <f t="shared" si="68"/>
        <v>5.6818707605748496E-2</v>
      </c>
      <c r="G145" s="387">
        <f t="shared" si="68"/>
        <v>4.2176085536807253E-2</v>
      </c>
      <c r="H145" s="387">
        <f t="shared" si="68"/>
        <v>4.4956181474952804E-2</v>
      </c>
      <c r="I145" s="387">
        <f t="shared" si="68"/>
        <v>4.4973503373012758E-2</v>
      </c>
      <c r="J145" s="324">
        <f t="shared" si="68"/>
        <v>4.2729268704610711E-2</v>
      </c>
      <c r="K145" s="324">
        <f t="shared" si="68"/>
        <v>4.2407538700635267E-2</v>
      </c>
      <c r="L145" s="324">
        <f t="shared" si="68"/>
        <v>4.4474891607099401E-2</v>
      </c>
      <c r="M145" s="324">
        <f t="shared" si="68"/>
        <v>4.4738889753451451E-2</v>
      </c>
      <c r="N145" s="324">
        <f t="shared" si="68"/>
        <v>4.6947765890497165E-2</v>
      </c>
      <c r="O145" s="315">
        <f ca="1">IF(O$2="Proj Yr1",IF(N$145&lt;OFFSET(Scenarios!$A$8,0,$C$1),MIN(N$145+(OFFSET(Scenarios!$A$8,0,$C$1)-N$145)/(OFFSET(Scenarios!$A$19,0,$C$1)-N$4),OFFSET(Scenarios!$A$8,0,$C$1)),MAX(N$145+(OFFSET(Scenarios!$A$8,0,$C$1)-N$145)/(OFFSET(Scenarios!$A$19,0,$C$1)-N$4),OFFSET(Scenarios!$A$8,0,$C$1))),IF(M$145&lt;N$145,MIN(N$145+N$145-M$145,OFFSET(Scenarios!$A$8,0,$C$1)),MAX(N$145+N$145-M$145,OFFSET(Scenarios!$A$8,0,$C$1))))</f>
        <v>4.7842458569330816E-2</v>
      </c>
      <c r="P145" s="315">
        <f ca="1">IF(P$2="Proj Yr1",IF(O$145&lt;OFFSET(Scenarios!$A$8,0,$C$1),MIN(O$145+(OFFSET(Scenarios!$A$8,0,$C$1)-O$145)/(OFFSET(Scenarios!$A$19,0,$C$1)-O$4),OFFSET(Scenarios!$A$8,0,$C$1)),MAX(O$145+(OFFSET(Scenarios!$A$8,0,$C$1)-O$145)/(OFFSET(Scenarios!$A$19,0,$C$1)-O$4),OFFSET(Scenarios!$A$8,0,$C$1))),IF(N$145&lt;O$145,MIN(O$145+O$145-N$145,OFFSET(Scenarios!$A$8,0,$C$1)),MAX(O$145+O$145-N$145,OFFSET(Scenarios!$A$8,0,$C$1))))</f>
        <v>4.8737151248164468E-2</v>
      </c>
      <c r="Q145" s="315">
        <f ca="1">IF(Q$2="Proj Yr1",IF(P$145&lt;OFFSET(Scenarios!$A$8,0,$C$1),MIN(P$145+(OFFSET(Scenarios!$A$8,0,$C$1)-P$145)/(OFFSET(Scenarios!$A$19,0,$C$1)-P$4),OFFSET(Scenarios!$A$8,0,$C$1)),MAX(P$145+(OFFSET(Scenarios!$A$8,0,$C$1)-P$145)/(OFFSET(Scenarios!$A$19,0,$C$1)-P$4),OFFSET(Scenarios!$A$8,0,$C$1))),IF(O$145&lt;P$145,MIN(P$145+P$145-O$145,OFFSET(Scenarios!$A$8,0,$C$1)),MAX(P$145+P$145-O$145,OFFSET(Scenarios!$A$8,0,$C$1))))</f>
        <v>4.9631843926998119E-2</v>
      </c>
      <c r="R145" s="315">
        <f ca="1">IF(R$2="Proj Yr1",IF(Q$145&lt;OFFSET(Scenarios!$A$8,0,$C$1),MIN(Q$145+(OFFSET(Scenarios!$A$8,0,$C$1)-Q$145)/(OFFSET(Scenarios!$A$19,0,$C$1)-Q$4),OFFSET(Scenarios!$A$8,0,$C$1)),MAX(Q$145+(OFFSET(Scenarios!$A$8,0,$C$1)-Q$145)/(OFFSET(Scenarios!$A$19,0,$C$1)-Q$4),OFFSET(Scenarios!$A$8,0,$C$1))),IF(P$145&lt;Q$145,MIN(Q$145+Q$145-P$145,OFFSET(Scenarios!$A$8,0,$C$1)),MAX(Q$145+Q$145-P$145,OFFSET(Scenarios!$A$8,0,$C$1))))</f>
        <v>5.0526536605831771E-2</v>
      </c>
      <c r="S145" s="315">
        <f ca="1">IF(S$2="Proj Yr1",IF(R$145&lt;OFFSET(Scenarios!$A$8,0,$C$1),MIN(R$145+(OFFSET(Scenarios!$A$8,0,$C$1)-R$145)/(OFFSET(Scenarios!$A$19,0,$C$1)-R$4),OFFSET(Scenarios!$A$8,0,$C$1)),MAX(R$145+(OFFSET(Scenarios!$A$8,0,$C$1)-R$145)/(OFFSET(Scenarios!$A$19,0,$C$1)-R$4),OFFSET(Scenarios!$A$8,0,$C$1))),IF(Q$145&lt;R$145,MIN(R$145+R$145-Q$145,OFFSET(Scenarios!$A$8,0,$C$1)),MAX(R$145+R$145-Q$145,OFFSET(Scenarios!$A$8,0,$C$1))))</f>
        <v>5.1421229284665422E-2</v>
      </c>
      <c r="T145" s="315">
        <f ca="1">IF(T$2="Proj Yr1",IF(S$145&lt;OFFSET(Scenarios!$A$8,0,$C$1),MIN(S$145+(OFFSET(Scenarios!$A$8,0,$C$1)-S$145)/(OFFSET(Scenarios!$A$19,0,$C$1)-S$4),OFFSET(Scenarios!$A$8,0,$C$1)),MAX(S$145+(OFFSET(Scenarios!$A$8,0,$C$1)-S$145)/(OFFSET(Scenarios!$A$19,0,$C$1)-S$4),OFFSET(Scenarios!$A$8,0,$C$1))),IF(R$145&lt;S$145,MIN(S$145+S$145-R$145,OFFSET(Scenarios!$A$8,0,$C$1)),MAX(S$145+S$145-R$145,OFFSET(Scenarios!$A$8,0,$C$1))))</f>
        <v>5.2315921963499074E-2</v>
      </c>
      <c r="U145" s="315">
        <f ca="1">IF(U$2="Proj Yr1",IF(T$145&lt;OFFSET(Scenarios!$A$8,0,$C$1),MIN(T$145+(OFFSET(Scenarios!$A$8,0,$C$1)-T$145)/(OFFSET(Scenarios!$A$19,0,$C$1)-T$4),OFFSET(Scenarios!$A$8,0,$C$1)),MAX(T$145+(OFFSET(Scenarios!$A$8,0,$C$1)-T$145)/(OFFSET(Scenarios!$A$19,0,$C$1)-T$4),OFFSET(Scenarios!$A$8,0,$C$1))),IF(S$145&lt;T$145,MIN(T$145+T$145-S$145,OFFSET(Scenarios!$A$8,0,$C$1)),MAX(T$145+T$145-S$145,OFFSET(Scenarios!$A$8,0,$C$1))))</f>
        <v>5.3210614642332725E-2</v>
      </c>
      <c r="V145" s="315">
        <f ca="1">IF(V$2="Proj Yr1",IF(U$145&lt;OFFSET(Scenarios!$A$8,0,$C$1),MIN(U$145+(OFFSET(Scenarios!$A$8,0,$C$1)-U$145)/(OFFSET(Scenarios!$A$19,0,$C$1)-U$4),OFFSET(Scenarios!$A$8,0,$C$1)),MAX(U$145+(OFFSET(Scenarios!$A$8,0,$C$1)-U$145)/(OFFSET(Scenarios!$A$19,0,$C$1)-U$4),OFFSET(Scenarios!$A$8,0,$C$1))),IF(T$145&lt;U$145,MIN(U$145+U$145-T$145,OFFSET(Scenarios!$A$8,0,$C$1)),MAX(U$145+U$145-T$145,OFFSET(Scenarios!$A$8,0,$C$1))))</f>
        <v>5.4105307321166377E-2</v>
      </c>
      <c r="W145" s="315">
        <f ca="1">IF(W$2="Proj Yr1",IF(V$145&lt;OFFSET(Scenarios!$A$8,0,$C$1),MIN(V$145+(OFFSET(Scenarios!$A$8,0,$C$1)-V$145)/(OFFSET(Scenarios!$A$19,0,$C$1)-V$4),OFFSET(Scenarios!$A$8,0,$C$1)),MAX(V$145+(OFFSET(Scenarios!$A$8,0,$C$1)-V$145)/(OFFSET(Scenarios!$A$19,0,$C$1)-V$4),OFFSET(Scenarios!$A$8,0,$C$1))),IF(U$145&lt;V$145,MIN(V$145+V$145-U$145,OFFSET(Scenarios!$A$8,0,$C$1)),MAX(V$145+V$145-U$145,OFFSET(Scenarios!$A$8,0,$C$1))))</f>
        <v>5.5E-2</v>
      </c>
      <c r="X145" s="315">
        <f ca="1">IF(X$2="Proj Yr1",IF(W$145&lt;OFFSET(Scenarios!$A$8,0,$C$1),MIN(W$145+(OFFSET(Scenarios!$A$8,0,$C$1)-W$145)/(OFFSET(Scenarios!$A$19,0,$C$1)-W$4),OFFSET(Scenarios!$A$8,0,$C$1)),MAX(W$145+(OFFSET(Scenarios!$A$8,0,$C$1)-W$145)/(OFFSET(Scenarios!$A$19,0,$C$1)-W$4),OFFSET(Scenarios!$A$8,0,$C$1))),IF(V$145&lt;W$145,MIN(W$145+W$145-V$145,OFFSET(Scenarios!$A$8,0,$C$1)),MAX(W$145+W$145-V$145,OFFSET(Scenarios!$A$8,0,$C$1))))</f>
        <v>5.5E-2</v>
      </c>
    </row>
    <row r="146" spans="1:24" x14ac:dyDescent="0.2">
      <c r="A146" s="27"/>
      <c r="B146" s="100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1:24" x14ac:dyDescent="0.2">
      <c r="A147" s="106" t="s">
        <v>975</v>
      </c>
      <c r="B147" s="100"/>
      <c r="C147" s="69"/>
      <c r="D147" s="71">
        <f>D$148</f>
        <v>0</v>
      </c>
      <c r="E147" s="71">
        <f>E$148-D$148</f>
        <v>0</v>
      </c>
      <c r="F147" s="71">
        <f>F$148-E$148</f>
        <v>0</v>
      </c>
      <c r="G147" s="71">
        <f>G$148-F$148</f>
        <v>0</v>
      </c>
      <c r="H147" s="71">
        <f>H$148-G$148</f>
        <v>0</v>
      </c>
      <c r="I147" s="71">
        <f>I$148-H$148</f>
        <v>0</v>
      </c>
      <c r="J147" s="128">
        <f ca="1">IF(OFFSET(Scenarios!$A$72,0,$C$1)="Yes",0,J$148-I$148)</f>
        <v>-0.28800000000000003</v>
      </c>
      <c r="K147" s="128">
        <f ca="1">IF(OFFSET(Scenarios!$A$72,0,$C$1)="Yes",0,K$148-J$148)</f>
        <v>0.14900000000000008</v>
      </c>
      <c r="L147" s="128">
        <f ca="1">IF(OFFSET(Scenarios!$A$72,0,$C$1)="Yes",0,L$148-K$148)</f>
        <v>1.2130000000000001</v>
      </c>
      <c r="M147" s="128">
        <f ca="1">IF(OFFSET(Scenarios!$A$72,0,$C$1)="Yes",0,M$148-L$148)</f>
        <v>0.97300000000000009</v>
      </c>
      <c r="N147" s="128">
        <f ca="1">IF(OFFSET(Scenarios!$A$72,0,$C$1)="Yes",0,N$148-M$148)</f>
        <v>1.0609999999999999</v>
      </c>
      <c r="O147" s="273">
        <f ca="1">IF(OFFSET(Scenarios!$A$72,0,$C$1)="Yes",0,IF(O$2="Proj Yr1",OFFSET(Scenarios!$A$27,0,$C$1),N$147*(1+OFFSET(Scenarios!$A$32,0,$C$1))))</f>
        <v>1.0609999999999999</v>
      </c>
      <c r="P147" s="273">
        <f ca="1">IF(OFFSET(Scenarios!$A$72,0,$C$1)="Yes",0,IF(P$2="Proj Yr1",OFFSET(Scenarios!$A$27,0,$C$1),O$147*(1+OFFSET(Scenarios!$A$32,0,$C$1))))</f>
        <v>1.08222</v>
      </c>
      <c r="Q147" s="273">
        <f ca="1">IF(OFFSET(Scenarios!$A$72,0,$C$1)="Yes",0,IF(Q$2="Proj Yr1",OFFSET(Scenarios!$A$27,0,$C$1),P$147*(1+OFFSET(Scenarios!$A$32,0,$C$1))))</f>
        <v>1.1038644</v>
      </c>
      <c r="R147" s="273">
        <f ca="1">IF(OFFSET(Scenarios!$A$72,0,$C$1)="Yes",0,IF(R$2="Proj Yr1",OFFSET(Scenarios!$A$27,0,$C$1),Q$147*(1+OFFSET(Scenarios!$A$32,0,$C$1))))</f>
        <v>1.1259416879999999</v>
      </c>
      <c r="S147" s="273">
        <f ca="1">IF(OFFSET(Scenarios!$A$72,0,$C$1)="Yes",0,IF(S$2="Proj Yr1",OFFSET(Scenarios!$A$27,0,$C$1),R$147*(1+OFFSET(Scenarios!$A$32,0,$C$1))))</f>
        <v>1.1484605217599999</v>
      </c>
      <c r="T147" s="273">
        <f ca="1">IF(OFFSET(Scenarios!$A$72,0,$C$1)="Yes",0,IF(T$2="Proj Yr1",OFFSET(Scenarios!$A$27,0,$C$1),S$147*(1+OFFSET(Scenarios!$A$32,0,$C$1))))</f>
        <v>1.1714297321951999</v>
      </c>
      <c r="U147" s="273">
        <f ca="1">IF(OFFSET(Scenarios!$A$72,0,$C$1)="Yes",0,IF(U$2="Proj Yr1",OFFSET(Scenarios!$A$27,0,$C$1),T$147*(1+OFFSET(Scenarios!$A$32,0,$C$1))))</f>
        <v>1.194858326839104</v>
      </c>
      <c r="V147" s="273">
        <f ca="1">IF(OFFSET(Scenarios!$A$72,0,$C$1)="Yes",0,IF(V$2="Proj Yr1",OFFSET(Scenarios!$A$27,0,$C$1),U$147*(1+OFFSET(Scenarios!$A$32,0,$C$1))))</f>
        <v>1.2187554933758862</v>
      </c>
      <c r="W147" s="273">
        <f ca="1">IF(OFFSET(Scenarios!$A$72,0,$C$1)="Yes",0,IF(W$2="Proj Yr1",OFFSET(Scenarios!$A$27,0,$C$1),V$147*(1+OFFSET(Scenarios!$A$32,0,$C$1))))</f>
        <v>1.243130603243404</v>
      </c>
      <c r="X147" s="273">
        <f ca="1">IF(OFFSET(Scenarios!$A$72,0,$C$1)="Yes",0,IF(X$2="Proj Yr1",OFFSET(Scenarios!$A$27,0,$C$1),W$147*(1+OFFSET(Scenarios!$A$32,0,$C$1))))</f>
        <v>1.267993215308272</v>
      </c>
    </row>
    <row r="148" spans="1:24" x14ac:dyDescent="0.2">
      <c r="A148" s="220" t="s">
        <v>976</v>
      </c>
      <c r="B148" s="228"/>
      <c r="C148" s="69"/>
      <c r="D148" s="174">
        <f>SUM(Data!C$54:C$55)</f>
        <v>0</v>
      </c>
      <c r="E148" s="174">
        <f>SUM(Data!D$54:D$55)</f>
        <v>0</v>
      </c>
      <c r="F148" s="174">
        <f>SUM(Data!E$54:E$55)</f>
        <v>0</v>
      </c>
      <c r="G148" s="174">
        <f>SUM(Data!F$54:F$55)</f>
        <v>0</v>
      </c>
      <c r="H148" s="174">
        <f>SUM(Data!G$54:G$55)</f>
        <v>0</v>
      </c>
      <c r="I148" s="174">
        <f>SUM(Data!H$54:H$55)</f>
        <v>0</v>
      </c>
      <c r="J148" s="153">
        <f>SUM(Data!I$54:I$55)</f>
        <v>-0.28800000000000003</v>
      </c>
      <c r="K148" s="153">
        <f>SUM(Data!J$54:J$55)</f>
        <v>-0.13899999999999996</v>
      </c>
      <c r="L148" s="153">
        <f>SUM(Data!K$54:K$55)</f>
        <v>1.0740000000000001</v>
      </c>
      <c r="M148" s="153">
        <f>SUM(Data!L$54:L$55)</f>
        <v>2.0470000000000002</v>
      </c>
      <c r="N148" s="153">
        <f>SUM(Data!M$54:M$55)</f>
        <v>3.1080000000000001</v>
      </c>
      <c r="O148" s="272">
        <f ca="1">N$148+IF(O$2="Proj Yr1",OFFSET(Scenarios!$A$27,0,$C$1),(N$148-M$148)*(1+OFFSET(Scenarios!$A$32,0,$C$1)))</f>
        <v>4.1690000000000005</v>
      </c>
      <c r="P148" s="272">
        <f ca="1">O$148+IF(P$2="Proj Yr1",OFFSET(Scenarios!$A$27,0,$C$1),(O$148-N$148)*(1+OFFSET(Scenarios!$A$32,0,$C$1)))</f>
        <v>5.2512200000000009</v>
      </c>
      <c r="Q148" s="272">
        <f ca="1">P$148+IF(Q$2="Proj Yr1",OFFSET(Scenarios!$A$27,0,$C$1),(P$148-O$148)*(1+OFFSET(Scenarios!$A$32,0,$C$1)))</f>
        <v>6.3550844000000009</v>
      </c>
      <c r="R148" s="272">
        <f ca="1">Q$148+IF(R$2="Proj Yr1",OFFSET(Scenarios!$A$27,0,$C$1),(Q$148-P$148)*(1+OFFSET(Scenarios!$A$32,0,$C$1)))</f>
        <v>7.481026088000001</v>
      </c>
      <c r="S148" s="272">
        <f ca="1">R$148+IF(S$2="Proj Yr1",OFFSET(Scenarios!$A$27,0,$C$1),(R$148-Q$148)*(1+OFFSET(Scenarios!$A$32,0,$C$1)))</f>
        <v>8.6294866097600007</v>
      </c>
      <c r="T148" s="272">
        <f ca="1">S$148+IF(T$2="Proj Yr1",OFFSET(Scenarios!$A$27,0,$C$1),(S$148-R$148)*(1+OFFSET(Scenarios!$A$32,0,$C$1)))</f>
        <v>9.800916341955201</v>
      </c>
      <c r="U148" s="272">
        <f ca="1">T$148+IF(U$2="Proj Yr1",OFFSET(Scenarios!$A$27,0,$C$1),(T$148-S$148)*(1+OFFSET(Scenarios!$A$32,0,$C$1)))</f>
        <v>10.995774668794306</v>
      </c>
      <c r="V148" s="272">
        <f ca="1">U$148+IF(V$2="Proj Yr1",OFFSET(Scenarios!$A$27,0,$C$1),(U$148-T$148)*(1+OFFSET(Scenarios!$A$32,0,$C$1)))</f>
        <v>12.214530162170194</v>
      </c>
      <c r="W148" s="272">
        <f ca="1">V$148+IF(W$2="Proj Yr1",OFFSET(Scenarios!$A$27,0,$C$1),(V$148-U$148)*(1+OFFSET(Scenarios!$A$32,0,$C$1)))</f>
        <v>13.4576607654136</v>
      </c>
      <c r="X148" s="272">
        <f ca="1">W$148+IF(X$2="Proj Yr1",OFFSET(Scenarios!$A$27,0,$C$1),(W$148-V$148)*(1+OFFSET(Scenarios!$A$32,0,$C$1)))</f>
        <v>14.725653980721875</v>
      </c>
    </row>
    <row r="149" spans="1:24" x14ac:dyDescent="0.2">
      <c r="A149" s="31"/>
      <c r="B149" s="69"/>
      <c r="C149" s="69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1:24" x14ac:dyDescent="0.2">
      <c r="A150" s="106" t="s">
        <v>605</v>
      </c>
      <c r="B150" s="69"/>
      <c r="C150" s="69"/>
      <c r="D150" s="174"/>
      <c r="E150" s="174"/>
      <c r="F150" s="174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x14ac:dyDescent="0.2">
      <c r="A151" s="27" t="s">
        <v>306</v>
      </c>
      <c r="B151" s="228"/>
      <c r="C151" s="69"/>
      <c r="D151" s="99">
        <f>Data!C$110</f>
        <v>1.1180000000000001</v>
      </c>
      <c r="E151" s="99">
        <f>Data!D$110</f>
        <v>0.872</v>
      </c>
      <c r="F151" s="99">
        <f>Data!E$110</f>
        <v>3.375</v>
      </c>
      <c r="G151" s="99">
        <f>Data!F$110</f>
        <v>4.9729999999999999</v>
      </c>
      <c r="H151" s="99">
        <f>Data!G$110</f>
        <v>6.0869999999999997</v>
      </c>
      <c r="I151" s="99">
        <f>Data!H$110</f>
        <v>6.7560000000000002</v>
      </c>
      <c r="J151" s="128">
        <f>Data!I$110</f>
        <v>11.811</v>
      </c>
      <c r="K151" s="128">
        <f>Data!J$110</f>
        <v>11.73</v>
      </c>
      <c r="L151" s="128">
        <f>Data!K$110</f>
        <v>11.769</v>
      </c>
      <c r="M151" s="128">
        <f>Data!L$110</f>
        <v>11.946999999999999</v>
      </c>
      <c r="N151" s="128">
        <f>Data!M$110</f>
        <v>12.086</v>
      </c>
      <c r="O151" s="100">
        <f t="shared" ref="O151:X151" ca="1" si="69">N$151*(1+O$247)</f>
        <v>12.332337992006394</v>
      </c>
      <c r="P151" s="100">
        <f t="shared" ca="1" si="69"/>
        <v>12.578984751846523</v>
      </c>
      <c r="Q151" s="100">
        <f t="shared" ca="1" si="69"/>
        <v>12.830564446883454</v>
      </c>
      <c r="R151" s="100">
        <f t="shared" ca="1" si="69"/>
        <v>13.087175735821123</v>
      </c>
      <c r="S151" s="100">
        <f t="shared" ca="1" si="69"/>
        <v>13.348919250537547</v>
      </c>
      <c r="T151" s="100">
        <f t="shared" ca="1" si="69"/>
        <v>13.615897635548297</v>
      </c>
      <c r="U151" s="100">
        <f t="shared" ca="1" si="69"/>
        <v>13.888215588259262</v>
      </c>
      <c r="V151" s="100">
        <f t="shared" ca="1" si="69"/>
        <v>14.165979900024448</v>
      </c>
      <c r="W151" s="100">
        <f t="shared" ca="1" si="69"/>
        <v>14.449299498024937</v>
      </c>
      <c r="X151" s="100">
        <f t="shared" ca="1" si="69"/>
        <v>14.738285487985436</v>
      </c>
    </row>
    <row r="152" spans="1:24" x14ac:dyDescent="0.2">
      <c r="A152" s="27" t="s">
        <v>606</v>
      </c>
      <c r="B152" s="228"/>
      <c r="C152" s="69"/>
      <c r="D152" s="99">
        <f>Data!C$58</f>
        <v>4.1630000000000003</v>
      </c>
      <c r="E152" s="99">
        <f>Data!D$58</f>
        <v>3.8039999999999998</v>
      </c>
      <c r="F152" s="99">
        <f>Data!E$58</f>
        <v>6.2679999999999998</v>
      </c>
      <c r="G152" s="99">
        <f>Data!F$58</f>
        <v>7.774</v>
      </c>
      <c r="H152" s="99">
        <f>Data!G$58</f>
        <v>9.8010000000000002</v>
      </c>
      <c r="I152" s="99">
        <f>Data!H$58</f>
        <v>10.686</v>
      </c>
      <c r="J152" s="128">
        <f>Data!I$58</f>
        <v>16.492000000000001</v>
      </c>
      <c r="K152" s="128">
        <f>Data!J$58</f>
        <v>15.244</v>
      </c>
      <c r="L152" s="128">
        <f>Data!K$58</f>
        <v>14.53</v>
      </c>
      <c r="M152" s="128">
        <f>Data!L$58</f>
        <v>14.680999999999999</v>
      </c>
      <c r="N152" s="128">
        <f>Data!M$58</f>
        <v>14.752000000000001</v>
      </c>
      <c r="O152" s="42">
        <f t="shared" ref="O152:X152" ca="1" si="70">N$152*(1+O$247)</f>
        <v>15.052676655475619</v>
      </c>
      <c r="P152" s="42">
        <f t="shared" ca="1" si="70"/>
        <v>15.353730188585132</v>
      </c>
      <c r="Q152" s="42">
        <f t="shared" ca="1" si="70"/>
        <v>15.660804792356835</v>
      </c>
      <c r="R152" s="42">
        <f t="shared" ca="1" si="70"/>
        <v>15.974020888203972</v>
      </c>
      <c r="S152" s="42">
        <f t="shared" ca="1" si="70"/>
        <v>16.29350130596805</v>
      </c>
      <c r="T152" s="42">
        <f t="shared" ca="1" si="70"/>
        <v>16.619371332087411</v>
      </c>
      <c r="U152" s="42">
        <f t="shared" ca="1" si="70"/>
        <v>16.951758758729159</v>
      </c>
      <c r="V152" s="42">
        <f t="shared" ca="1" si="70"/>
        <v>17.290793933903743</v>
      </c>
      <c r="W152" s="42">
        <f t="shared" ca="1" si="70"/>
        <v>17.636609812581817</v>
      </c>
      <c r="X152" s="42">
        <f t="shared" ca="1" si="70"/>
        <v>17.989342008833454</v>
      </c>
    </row>
    <row r="153" spans="1:24" x14ac:dyDescent="0.2">
      <c r="A153" s="27" t="s">
        <v>307</v>
      </c>
      <c r="B153" s="228"/>
      <c r="C153" s="69"/>
      <c r="D153" s="99">
        <f>Data!C$111</f>
        <v>7.59</v>
      </c>
      <c r="E153" s="99">
        <f>Data!D$111</f>
        <v>9.0310000000000006</v>
      </c>
      <c r="F153" s="99">
        <f>Data!E$111</f>
        <v>10.243</v>
      </c>
      <c r="G153" s="99">
        <f>Data!F$111</f>
        <v>8.7759999999999998</v>
      </c>
      <c r="H153" s="99">
        <f>Data!G$111</f>
        <v>11.375999999999999</v>
      </c>
      <c r="I153" s="99">
        <f>Data!H$111</f>
        <v>10.974</v>
      </c>
      <c r="J153" s="128">
        <f>Data!I$111</f>
        <v>10.36</v>
      </c>
      <c r="K153" s="128">
        <f>Data!J$111</f>
        <v>10.26</v>
      </c>
      <c r="L153" s="128">
        <f>Data!K$111</f>
        <v>10.268000000000001</v>
      </c>
      <c r="M153" s="128">
        <f>Data!L$111</f>
        <v>10.180999999999999</v>
      </c>
      <c r="N153" s="128">
        <f>Data!M$111</f>
        <v>10.239000000000001</v>
      </c>
      <c r="O153" s="42">
        <f t="shared" ref="O153:X153" ca="1" si="71">N$153*(1+O$247)</f>
        <v>10.447692263788969</v>
      </c>
      <c r="P153" s="42">
        <f t="shared" ca="1" si="71"/>
        <v>10.656646109064749</v>
      </c>
      <c r="Q153" s="42">
        <f t="shared" ca="1" si="71"/>
        <v>10.869779031246043</v>
      </c>
      <c r="R153" s="42">
        <f t="shared" ca="1" si="71"/>
        <v>11.087174611870964</v>
      </c>
      <c r="S153" s="42">
        <f t="shared" ca="1" si="71"/>
        <v>11.308918104108383</v>
      </c>
      <c r="T153" s="42">
        <f t="shared" ca="1" si="71"/>
        <v>11.53509646619055</v>
      </c>
      <c r="U153" s="42">
        <f t="shared" ca="1" si="71"/>
        <v>11.765798395514361</v>
      </c>
      <c r="V153" s="42">
        <f t="shared" ca="1" si="71"/>
        <v>12.001114363424648</v>
      </c>
      <c r="W153" s="42">
        <f t="shared" ca="1" si="71"/>
        <v>12.241136650693141</v>
      </c>
      <c r="X153" s="42">
        <f t="shared" ca="1" si="71"/>
        <v>12.485959383707005</v>
      </c>
    </row>
    <row r="154" spans="1:24" x14ac:dyDescent="0.2">
      <c r="A154" s="27" t="s">
        <v>309</v>
      </c>
      <c r="B154" s="228"/>
      <c r="C154" s="69"/>
      <c r="D154" s="99">
        <f>Data!C$59</f>
        <v>12.058</v>
      </c>
      <c r="E154" s="99">
        <f>Data!D$59</f>
        <v>14.157999999999999</v>
      </c>
      <c r="F154" s="99">
        <f>Data!E$59</f>
        <v>14.619</v>
      </c>
      <c r="G154" s="99">
        <f>Data!F$59</f>
        <v>13.884</v>
      </c>
      <c r="H154" s="99">
        <f>Data!G$59</f>
        <v>21.69</v>
      </c>
      <c r="I154" s="99">
        <f>Data!H$59</f>
        <v>20.956</v>
      </c>
      <c r="J154" s="128">
        <f>Data!I$59</f>
        <v>19.189</v>
      </c>
      <c r="K154" s="128">
        <f>Data!J$59</f>
        <v>18.07</v>
      </c>
      <c r="L154" s="128">
        <f>Data!K$59</f>
        <v>16.856999999999999</v>
      </c>
      <c r="M154" s="128">
        <f>Data!L$59</f>
        <v>16.431999999999999</v>
      </c>
      <c r="N154" s="128">
        <f>Data!M$59</f>
        <v>16.552</v>
      </c>
      <c r="O154" s="42">
        <f t="shared" ref="O154:X154" ca="1" si="72">N$154*(1+O$247)</f>
        <v>16.889364425259792</v>
      </c>
      <c r="P154" s="42">
        <f t="shared" ca="1" si="72"/>
        <v>17.227151713764989</v>
      </c>
      <c r="Q154" s="42">
        <f t="shared" ca="1" si="72"/>
        <v>17.57169474804029</v>
      </c>
      <c r="R154" s="42">
        <f t="shared" ca="1" si="72"/>
        <v>17.923128643001096</v>
      </c>
      <c r="S154" s="42">
        <f t="shared" ca="1" si="72"/>
        <v>18.28159121586112</v>
      </c>
      <c r="T154" s="42">
        <f t="shared" ca="1" si="72"/>
        <v>18.647223040178343</v>
      </c>
      <c r="U154" s="42">
        <f t="shared" ca="1" si="72"/>
        <v>19.020167500981909</v>
      </c>
      <c r="V154" s="42">
        <f t="shared" ca="1" si="72"/>
        <v>19.400570851001547</v>
      </c>
      <c r="W154" s="42">
        <f t="shared" ca="1" si="72"/>
        <v>19.788582268021578</v>
      </c>
      <c r="X154" s="42">
        <f t="shared" ca="1" si="72"/>
        <v>20.184353913382012</v>
      </c>
    </row>
    <row r="155" spans="1:24" x14ac:dyDescent="0.2">
      <c r="A155" s="27"/>
      <c r="B155" s="69"/>
      <c r="C155" s="69"/>
      <c r="D155" s="99"/>
      <c r="E155" s="99"/>
      <c r="F155" s="99"/>
      <c r="G155" s="99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</row>
    <row r="156" spans="1:24" x14ac:dyDescent="0.2">
      <c r="A156" s="106" t="s">
        <v>609</v>
      </c>
      <c r="B156" s="69"/>
      <c r="C156" s="69"/>
      <c r="D156" s="99"/>
      <c r="E156" s="99"/>
      <c r="F156" s="99"/>
      <c r="G156" s="99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</row>
    <row r="157" spans="1:24" x14ac:dyDescent="0.2">
      <c r="A157" s="31" t="s">
        <v>753</v>
      </c>
      <c r="B157" s="228"/>
      <c r="C157" s="69"/>
      <c r="D157" s="69">
        <f>ROUND(D$161*(Data!C$169-Data!C$173*2/3)/(SUM(Data!C$169:C$172)-SUM(Data!C$111,Data!C$173,Data!C$190)),3)</f>
        <v>9.0779999999999994</v>
      </c>
      <c r="E157" s="69">
        <f>ROUND(E$161*(Data!D$169-Data!D$173*2/3)/(SUM(Data!D$169:D$172)-SUM(Data!D$111,Data!D$173,Data!D$190)),3)</f>
        <v>12.641</v>
      </c>
      <c r="F157" s="69">
        <f>ROUND(F$161*(Data!E$169-Data!E$173*2/3)/(SUM(Data!E$169:E$172)-SUM(Data!E$111,Data!E$173,Data!E$190)),3)</f>
        <v>13.839</v>
      </c>
      <c r="G157" s="69">
        <f>ROUND(G$161*(Data!F$169-Data!F$173*2/3)/(SUM(Data!F$169:F$172)-SUM(Data!F$111,Data!F$173,Data!F$190)),3)</f>
        <v>14.26</v>
      </c>
      <c r="H157" s="69">
        <f>ROUND(H$161*(Data!G$169-Data!G$173*2/3)/(SUM(Data!G$169:G$172)-SUM(Data!G$111,Data!G$173,Data!G$190)),3)</f>
        <v>19.242000000000001</v>
      </c>
      <c r="I157" s="69">
        <f>ROUND(I$161*(Data!H$169-Data!H$173*2/3)/(SUM(Data!H$169:H$172)-SUM(Data!H$111,Data!H$173,Data!H$190)),3)</f>
        <v>16.286999999999999</v>
      </c>
      <c r="J157" s="103">
        <f>ROUND(J$161*(Data!I$169-Data!I$173*2/3)/(SUM(Data!I$169:I$172)-SUM(Data!I$111,Data!I$173,Data!I$190)),3)</f>
        <v>8.48</v>
      </c>
      <c r="K157" s="103">
        <f>ROUND(K$161*(Data!J$169-Data!J$173*2/3)/(SUM(Data!J$169:J$172)-SUM(Data!J$111,Data!J$173,Data!J$190)),3)</f>
        <v>10.891999999999999</v>
      </c>
      <c r="L157" s="103">
        <f>ROUND(L$161*(Data!K$169-Data!K$173*2/3)/(SUM(Data!K$169:K$172)-SUM(Data!K$111,Data!K$173,Data!K$190)),3)</f>
        <v>5.4550000000000001</v>
      </c>
      <c r="M157" s="103">
        <f>ROUND(M$161*(Data!L$169-Data!L$173*2/3)/(SUM(Data!L$169:L$172)-SUM(Data!L$111,Data!L$173,Data!L$190)),3)</f>
        <v>7.8070000000000004</v>
      </c>
      <c r="N157" s="103">
        <f>ROUND(N$161*(Data!M$169-Data!M$173*2/3)/(SUM(Data!M$169:M$172)-SUM(Data!M$111,Data!M$173,Data!M$190)),3)</f>
        <v>12.255000000000001</v>
      </c>
      <c r="O157" s="73">
        <f t="shared" ref="O157:X157" ca="1" si="73">N$157*(1+O$247)</f>
        <v>12.504782565947242</v>
      </c>
      <c r="P157" s="73">
        <f t="shared" ca="1" si="73"/>
        <v>12.754878217266187</v>
      </c>
      <c r="Q157" s="73">
        <f t="shared" ca="1" si="73"/>
        <v>13.00997578161151</v>
      </c>
      <c r="R157" s="73">
        <f t="shared" ca="1" si="73"/>
        <v>13.270175297243741</v>
      </c>
      <c r="S157" s="73">
        <f t="shared" ca="1" si="73"/>
        <v>13.535578803188615</v>
      </c>
      <c r="T157" s="73">
        <f t="shared" ca="1" si="73"/>
        <v>13.806290379252388</v>
      </c>
      <c r="U157" s="73">
        <f t="shared" ca="1" si="73"/>
        <v>14.082416186837436</v>
      </c>
      <c r="V157" s="73">
        <f t="shared" ca="1" si="73"/>
        <v>14.364064510574185</v>
      </c>
      <c r="W157" s="73">
        <f t="shared" ca="1" si="73"/>
        <v>14.651345800785668</v>
      </c>
      <c r="X157" s="73">
        <f t="shared" ca="1" si="73"/>
        <v>14.944372716801382</v>
      </c>
    </row>
    <row r="158" spans="1:24" x14ac:dyDescent="0.2">
      <c r="A158" s="31" t="s">
        <v>749</v>
      </c>
      <c r="B158" s="228"/>
      <c r="C158" s="69"/>
      <c r="D158" s="69">
        <f>ROUND(D$161*(Data!C$170-Data!C$173*1/3)/(SUM(Data!C$169:C$172)-SUM(Data!C$111,Data!C$173,Data!C$190)),3)</f>
        <v>12.757</v>
      </c>
      <c r="E158" s="69">
        <f>ROUND(E$161*(Data!D$170-Data!D$173*1/3)/(SUM(Data!D$169:D$172)-SUM(Data!D$111,Data!D$173,Data!D$190)),3)</f>
        <v>13.375</v>
      </c>
      <c r="F158" s="69">
        <f>ROUND(F$161*(Data!E$170-Data!E$173*1/3)/(SUM(Data!E$169:E$172)-SUM(Data!E$111,Data!E$173,Data!E$190)),3)</f>
        <v>16.248999999999999</v>
      </c>
      <c r="G158" s="69">
        <f>ROUND(G$161*(Data!F$170-Data!F$173*1/3)/(SUM(Data!F$169:F$172)-SUM(Data!F$111,Data!F$173,Data!F$190)),3)</f>
        <v>13.423999999999999</v>
      </c>
      <c r="H158" s="69">
        <f>ROUND(H$161*(Data!G$170-Data!G$173*1/3)/(SUM(Data!G$169:G$172)-SUM(Data!G$111,Data!G$173,Data!G$190)),3)</f>
        <v>12</v>
      </c>
      <c r="I158" s="69">
        <f>ROUND(I$161*(Data!H$170-Data!H$173*1/3)/(SUM(Data!H$169:H$172)-SUM(Data!H$111,Data!H$173,Data!H$190)),3)</f>
        <v>11.704000000000001</v>
      </c>
      <c r="J158" s="103">
        <f>ROUND(J$161*(Data!I$170-Data!I$173*1/3)/(SUM(Data!I$169:I$172)-SUM(Data!I$111,Data!I$173,Data!I$190)),3)</f>
        <v>10.801</v>
      </c>
      <c r="K158" s="103">
        <f>ROUND(K$161*(Data!J$170-Data!J$173*1/3)/(SUM(Data!J$169:J$172)-SUM(Data!J$111,Data!J$173,Data!J$190)),3)</f>
        <v>11.103999999999999</v>
      </c>
      <c r="L158" s="103">
        <f>ROUND(L$161*(Data!K$170-Data!K$173*1/3)/(SUM(Data!K$169:K$172)-SUM(Data!K$111,Data!K$173,Data!K$190)),3)</f>
        <v>10.526</v>
      </c>
      <c r="M158" s="103">
        <f>ROUND(M$161*(Data!L$170-Data!L$173*1/3)/(SUM(Data!L$169:L$172)-SUM(Data!L$111,Data!L$173,Data!L$190)),3)</f>
        <v>11.093</v>
      </c>
      <c r="N158" s="103">
        <f>ROUND(N$161*(Data!M$170-Data!M$173*1/3)/(SUM(Data!M$169:M$172)-SUM(Data!M$111,Data!M$173,Data!M$190)),3)</f>
        <v>11.851000000000001</v>
      </c>
      <c r="O158" s="73">
        <f t="shared" ref="O158:X158" ca="1" si="74">N$158*(1+O$247)</f>
        <v>12.092548199840127</v>
      </c>
      <c r="P158" s="73">
        <f t="shared" ca="1" si="74"/>
        <v>12.334399163836931</v>
      </c>
      <c r="Q158" s="73">
        <f t="shared" ca="1" si="74"/>
        <v>12.581087147113671</v>
      </c>
      <c r="R158" s="73">
        <f t="shared" ca="1" si="74"/>
        <v>12.832708890055944</v>
      </c>
      <c r="S158" s="73">
        <f t="shared" ca="1" si="74"/>
        <v>13.089363067857063</v>
      </c>
      <c r="T158" s="73">
        <f t="shared" ca="1" si="74"/>
        <v>13.351150329214205</v>
      </c>
      <c r="U158" s="73">
        <f t="shared" ca="1" si="74"/>
        <v>13.61817333579849</v>
      </c>
      <c r="V158" s="73">
        <f t="shared" ca="1" si="74"/>
        <v>13.890536802514459</v>
      </c>
      <c r="W158" s="73">
        <f t="shared" ca="1" si="74"/>
        <v>14.168347538564749</v>
      </c>
      <c r="X158" s="73">
        <f t="shared" ca="1" si="74"/>
        <v>14.451714489336045</v>
      </c>
    </row>
    <row r="159" spans="1:24" x14ac:dyDescent="0.2">
      <c r="A159" s="31" t="s">
        <v>314</v>
      </c>
      <c r="B159" s="228"/>
      <c r="C159" s="69"/>
      <c r="D159" s="69">
        <f>ROUND(D$161*Data!C$171/(SUM(Data!C$169:C$172)-SUM(Data!C$111,Data!C$173,Data!C$190)),3)</f>
        <v>11.206</v>
      </c>
      <c r="E159" s="69">
        <f>ROUND(E$161*Data!D$171/(SUM(Data!D$169:D$172)-SUM(Data!D$111,Data!D$173,Data!D$190)),3)</f>
        <v>12.33</v>
      </c>
      <c r="F159" s="69">
        <f>ROUND(F$161*Data!E$171/(SUM(Data!E$169:E$172)-SUM(Data!E$111,Data!E$173,Data!E$190)),3)</f>
        <v>10.964</v>
      </c>
      <c r="G159" s="69">
        <f>ROUND(G$161*Data!F$171/(SUM(Data!F$169:F$172)-SUM(Data!F$111,Data!F$173,Data!F$190)),3)</f>
        <v>12.693</v>
      </c>
      <c r="H159" s="69">
        <f>ROUND(H$161*Data!G$171/(SUM(Data!G$169:G$172)-SUM(Data!G$111,Data!G$173,Data!G$190)),3)</f>
        <v>15.097</v>
      </c>
      <c r="I159" s="69">
        <f>ROUND(I$161*Data!H$171/(SUM(Data!H$169:H$172)-SUM(Data!H$111,Data!H$173,Data!H$190)),3)</f>
        <v>14.747</v>
      </c>
      <c r="J159" s="103">
        <f>ROUND(J$161*Data!I$171/(SUM(Data!I$169:I$172)-SUM(Data!I$111,Data!I$173,Data!I$190)),3)</f>
        <v>15.335000000000001</v>
      </c>
      <c r="K159" s="103">
        <f>ROUND(K$161*Data!J$171/(SUM(Data!J$169:J$172)-SUM(Data!J$111,Data!J$173,Data!J$190)),3)</f>
        <v>16.582000000000001</v>
      </c>
      <c r="L159" s="103">
        <f>ROUND(L$161*Data!K$171/(SUM(Data!K$169:K$172)-SUM(Data!K$111,Data!K$173,Data!K$190)),3)</f>
        <v>16.523</v>
      </c>
      <c r="M159" s="103">
        <f>ROUND(M$161*Data!L$171/(SUM(Data!L$169:L$172)-SUM(Data!L$111,Data!L$173,Data!L$190)),3)</f>
        <v>18.244</v>
      </c>
      <c r="N159" s="103">
        <f>ROUND(N$161*Data!M$171/(SUM(Data!M$169:M$172)-SUM(Data!M$111,Data!M$173,Data!M$190)),3)</f>
        <v>20.646000000000001</v>
      </c>
      <c r="O159" s="73">
        <f t="shared" ref="O159:X159" si="75">N$159*O$176/N$176</f>
        <v>21.837498837914328</v>
      </c>
      <c r="P159" s="73">
        <f t="shared" si="75"/>
        <v>23.114721916703139</v>
      </c>
      <c r="Q159" s="73">
        <f t="shared" si="75"/>
        <v>24.484600567297051</v>
      </c>
      <c r="R159" s="73">
        <f t="shared" si="75"/>
        <v>27.942522137744856</v>
      </c>
      <c r="S159" s="73">
        <f t="shared" si="75"/>
        <v>31.523403011106947</v>
      </c>
      <c r="T159" s="73">
        <f t="shared" si="75"/>
        <v>35.217911631070024</v>
      </c>
      <c r="U159" s="73">
        <f t="shared" si="75"/>
        <v>38.990563840694705</v>
      </c>
      <c r="V159" s="73">
        <f t="shared" si="75"/>
        <v>42.831227892635233</v>
      </c>
      <c r="W159" s="73">
        <f t="shared" si="75"/>
        <v>46.701656000720298</v>
      </c>
      <c r="X159" s="73">
        <f t="shared" si="75"/>
        <v>50.576892507296414</v>
      </c>
    </row>
    <row r="160" spans="1:24" x14ac:dyDescent="0.2">
      <c r="A160" s="31" t="s">
        <v>521</v>
      </c>
      <c r="B160" s="228"/>
      <c r="C160" s="69"/>
      <c r="D160" s="173">
        <f>ROUND(D$161*(Data!C$172-SUM(Data!C$111,Data!C$190))/(SUM(Data!C$169:C$172)-SUM(Data!C$111,Data!C$173,Data!C$190)),3)</f>
        <v>1.2490000000000001</v>
      </c>
      <c r="E160" s="173">
        <f>ROUND(E$161*(Data!D$172-SUM(Data!D$111,Data!D$190))/(SUM(Data!D$169:D$172)-SUM(Data!D$111,Data!D$173,Data!D$190)),3)</f>
        <v>1.103</v>
      </c>
      <c r="F160" s="173">
        <f>ROUND(F$161*(Data!E$172-SUM(Data!E$111,Data!E$190))/(SUM(Data!E$169:E$172)-SUM(Data!E$111,Data!E$173,Data!E$190)),3)</f>
        <v>0.51300000000000001</v>
      </c>
      <c r="G160" s="173">
        <f>ROUND(G$161*(Data!F$172-SUM(Data!F$111,Data!F$190))/(SUM(Data!F$169:F$172)-SUM(Data!F$111,Data!F$173,Data!F$190)),3)</f>
        <v>0.76900000000000002</v>
      </c>
      <c r="H160" s="173">
        <f>ROUND(H$161*(Data!G$172-SUM(Data!G$111,Data!G$190))/(SUM(Data!G$169:G$172)-SUM(Data!G$111,Data!G$173,Data!G$190)),3)</f>
        <v>0.22600000000000001</v>
      </c>
      <c r="I160" s="173">
        <f>ROUND(I$161*(Data!H$172-SUM(Data!H$111,Data!H$190))/(SUM(Data!H$169:H$172)-SUM(Data!H$111,Data!H$173,Data!H$190)),3)</f>
        <v>0.93300000000000005</v>
      </c>
      <c r="J160" s="127">
        <f>ROUND(J$161*(Data!I$172-SUM(Data!I$111,Data!I$190))/(SUM(Data!I$169:I$172)-SUM(Data!I$111,Data!I$173,Data!I$190)),3)</f>
        <v>1.125</v>
      </c>
      <c r="K160" s="127">
        <f>ROUND(K$161*(Data!J$172-SUM(Data!J$111,Data!J$190))/(SUM(Data!J$169:J$172)-SUM(Data!J$111,Data!J$173,Data!J$190)),3)</f>
        <v>0.84299999999999997</v>
      </c>
      <c r="L160" s="127">
        <f>ROUND(L$161*(Data!K$172-SUM(Data!K$111,Data!K$190))/(SUM(Data!K$169:K$172)-SUM(Data!K$111,Data!K$173,Data!K$190)),3)</f>
        <v>0.47499999999999998</v>
      </c>
      <c r="M160" s="127">
        <f>ROUND(M$161*(Data!L$172-SUM(Data!L$111,Data!L$190))/(SUM(Data!L$169:L$172)-SUM(Data!L$111,Data!L$173,Data!L$190)),3)</f>
        <v>0.46800000000000003</v>
      </c>
      <c r="N160" s="127">
        <f>ROUND(N$161*(Data!M$172-SUM(Data!M$111,Data!M$190))/(SUM(Data!M$169:M$172)-SUM(Data!M$111,Data!M$173,Data!M$190)),3)</f>
        <v>0.51200000000000001</v>
      </c>
      <c r="O160" s="81">
        <f t="shared" ref="O160:X160" ca="1" si="76">N$160*(1+O$247)</f>
        <v>0.52243563229416468</v>
      </c>
      <c r="P160" s="81">
        <f t="shared" ca="1" si="76"/>
        <v>0.53288434494004799</v>
      </c>
      <c r="Q160" s="81">
        <f t="shared" ca="1" si="76"/>
        <v>0.54354203183884897</v>
      </c>
      <c r="R160" s="81">
        <f t="shared" ca="1" si="76"/>
        <v>0.55441287247562598</v>
      </c>
      <c r="S160" s="81">
        <f t="shared" ca="1" si="76"/>
        <v>0.56550112992513857</v>
      </c>
      <c r="T160" s="81">
        <f t="shared" ca="1" si="76"/>
        <v>0.57681115252364135</v>
      </c>
      <c r="U160" s="81">
        <f t="shared" ca="1" si="76"/>
        <v>0.58834737557411421</v>
      </c>
      <c r="V160" s="81">
        <f t="shared" ca="1" si="76"/>
        <v>0.60011432308559653</v>
      </c>
      <c r="W160" s="81">
        <f t="shared" ca="1" si="76"/>
        <v>0.61211660954730851</v>
      </c>
      <c r="X160" s="81">
        <f t="shared" ca="1" si="76"/>
        <v>0.62435894173825468</v>
      </c>
    </row>
    <row r="161" spans="1:24" x14ac:dyDescent="0.2">
      <c r="A161" s="27" t="s">
        <v>313</v>
      </c>
      <c r="B161" s="228"/>
      <c r="C161" s="69"/>
      <c r="D161" s="71">
        <f>Data!C$112-SUM(Data!C$92,Data!C$204)</f>
        <v>34.290000000000006</v>
      </c>
      <c r="E161" s="71">
        <f>Data!D$112-SUM(Data!D$92,Data!D$204)</f>
        <v>39.448999999999998</v>
      </c>
      <c r="F161" s="71">
        <f>Data!E$112-SUM(Data!E$92,Data!E$204)</f>
        <v>41.565999999999995</v>
      </c>
      <c r="G161" s="71">
        <f>Data!F$112-SUM(Data!F$92,Data!F$204)</f>
        <v>41.144999999999996</v>
      </c>
      <c r="H161" s="71">
        <f>Data!G$112-SUM(Data!G$92,Data!G$204)</f>
        <v>46.564999999999998</v>
      </c>
      <c r="I161" s="71">
        <f>Data!H$112-SUM(Data!H$92,Data!H$204)</f>
        <v>43.670999999999999</v>
      </c>
      <c r="J161" s="128">
        <f>Data!I$112-SUM(Data!I$92,Data!I$204)</f>
        <v>35.74089</v>
      </c>
      <c r="K161" s="128">
        <f>Data!J$112-SUM(Data!J$92,Data!J$204)</f>
        <v>39.42089</v>
      </c>
      <c r="L161" s="128">
        <f>Data!K$112-SUM(Data!K$92,Data!K$204)</f>
        <v>32.979889999999997</v>
      </c>
      <c r="M161" s="128">
        <f>Data!L$112-SUM(Data!L$92,Data!L$204)</f>
        <v>37.611890000000002</v>
      </c>
      <c r="N161" s="128">
        <f>Data!M$112-SUM(Data!M$92,Data!M$204)</f>
        <v>45.264890000000008</v>
      </c>
      <c r="O161" s="42">
        <f ca="1">SUM(O$157:O$160)</f>
        <v>46.957265235995862</v>
      </c>
      <c r="P161" s="42">
        <f t="shared" ref="P161:X161" ca="1" si="77">SUM(P$157:P$160)</f>
        <v>48.736883642746307</v>
      </c>
      <c r="Q161" s="42">
        <f t="shared" ca="1" si="77"/>
        <v>50.619205527861077</v>
      </c>
      <c r="R161" s="42">
        <f t="shared" ca="1" si="77"/>
        <v>54.599819197520162</v>
      </c>
      <c r="S161" s="42">
        <f t="shared" ca="1" si="77"/>
        <v>58.713846012077767</v>
      </c>
      <c r="T161" s="42">
        <f t="shared" ca="1" si="77"/>
        <v>62.952163492060258</v>
      </c>
      <c r="U161" s="42">
        <f t="shared" ca="1" si="77"/>
        <v>67.279500738904744</v>
      </c>
      <c r="V161" s="42">
        <f t="shared" ca="1" si="77"/>
        <v>71.685943528809474</v>
      </c>
      <c r="W161" s="42">
        <f t="shared" ca="1" si="77"/>
        <v>76.133465949618028</v>
      </c>
      <c r="X161" s="42">
        <f t="shared" ca="1" si="77"/>
        <v>80.597338655172095</v>
      </c>
    </row>
    <row r="162" spans="1:24" x14ac:dyDescent="0.2">
      <c r="A162" s="152" t="s">
        <v>614</v>
      </c>
      <c r="B162" s="228"/>
      <c r="C162" s="69"/>
      <c r="D162" s="69">
        <f>ROUND((D$164-D$161)*SUM(Data!C$174:C$176,-Data!C$177,-Data!C$179*2/3)/SUM(Data!C$174:C$176,-Data!C$177,Data!C$178,-Data!C$179),3)</f>
        <v>8.43</v>
      </c>
      <c r="E162" s="69">
        <f>ROUND((E$164-E$161)*SUM(Data!D$174:D$176,-Data!D$177,-Data!D$179*2/3)/SUM(Data!D$174:D$176,-Data!D$177,Data!D$178,-Data!D$179),3)</f>
        <v>9.89</v>
      </c>
      <c r="F162" s="69">
        <f>ROUND((F$164-F$161)*SUM(Data!E$174:E$176,-Data!E$177,-Data!E$179*2/3)/SUM(Data!E$174:E$176,-Data!E$177,Data!E$178,-Data!E$179),3)</f>
        <v>9.452</v>
      </c>
      <c r="G162" s="69">
        <f>ROUND((G$164-G$161)*SUM(Data!F$174:F$176,-Data!F$177,-Data!F$179*2/3)/SUM(Data!F$174:F$176,-Data!F$177,Data!F$178,-Data!F$179),3)</f>
        <v>9.1609999999999996</v>
      </c>
      <c r="H162" s="69">
        <f>ROUND((H$164-H$161)*SUM(Data!G$174:G$176,-Data!G$177,-Data!G$179*2/3)/SUM(Data!G$174:G$176,-Data!G$177,Data!G$178,-Data!G$179),3)</f>
        <v>10.571999999999999</v>
      </c>
      <c r="I162" s="69">
        <f>ROUND((I$164-I$161)*SUM(Data!H$174:H$176,-Data!H$177,-Data!H$179*2/3)/SUM(Data!H$174:H$176,-Data!H$177,Data!H$178,-Data!H$179),3)</f>
        <v>12.996</v>
      </c>
      <c r="J162" s="103">
        <f>ROUND((J$164-J$161)*SUM(Data!I$174:I$176,-Data!I$177,-Data!I$179*2/3)/SUM(Data!I$174:I$176,-Data!I$177,Data!I$178,-Data!I$179),3)</f>
        <v>14.295</v>
      </c>
      <c r="K162" s="103">
        <f>ROUND((K$164-K$161)*SUM(Data!J$174:J$176,-Data!J$177,-Data!J$179*2/3)/SUM(Data!J$174:J$176,-Data!J$177,Data!J$178,-Data!J$179),3)</f>
        <v>15.058</v>
      </c>
      <c r="L162" s="103">
        <f>ROUND((L$164-L$161)*SUM(Data!K$174:K$176,-Data!K$177,-Data!K$179*2/3)/SUM(Data!K$174:K$176,-Data!K$177,Data!K$178,-Data!K$179),3)</f>
        <v>15.465999999999999</v>
      </c>
      <c r="M162" s="103">
        <f>ROUND((M$164-M$161)*SUM(Data!L$174:L$176,-Data!L$177,-Data!L$179*2/3)/SUM(Data!L$174:L$176,-Data!L$177,Data!L$178,-Data!L$179),3)</f>
        <v>15.581</v>
      </c>
      <c r="N162" s="103">
        <f>ROUND((N$164-N$161)*SUM(Data!M$174:M$176,-Data!M$177,-Data!M$179*2/3)/SUM(Data!M$174:M$176,-Data!M$177,Data!M$178,-Data!M$179),3)</f>
        <v>15.593</v>
      </c>
      <c r="O162" s="73">
        <f t="shared" ref="O162:X162" ca="1" si="78">N$162*(1+O$245)</f>
        <v>16.292701862911791</v>
      </c>
      <c r="P162" s="73">
        <f t="shared" ca="1" si="78"/>
        <v>17.025719540118178</v>
      </c>
      <c r="Q162" s="73">
        <f t="shared" ca="1" si="78"/>
        <v>17.811342529100326</v>
      </c>
      <c r="R162" s="73">
        <f t="shared" ca="1" si="78"/>
        <v>18.635402114114481</v>
      </c>
      <c r="S162" s="73">
        <f t="shared" ca="1" si="78"/>
        <v>19.492358298512553</v>
      </c>
      <c r="T162" s="73">
        <f t="shared" ca="1" si="78"/>
        <v>20.372424091052643</v>
      </c>
      <c r="U162" s="73">
        <f t="shared" ca="1" si="78"/>
        <v>21.277645630907454</v>
      </c>
      <c r="V162" s="73">
        <f t="shared" ca="1" si="78"/>
        <v>22.217779377892835</v>
      </c>
      <c r="W162" s="73">
        <f t="shared" ca="1" si="78"/>
        <v>23.187223204300139</v>
      </c>
      <c r="X162" s="73">
        <f t="shared" ca="1" si="78"/>
        <v>24.184008536111538</v>
      </c>
    </row>
    <row r="163" spans="1:24" x14ac:dyDescent="0.2">
      <c r="A163" s="152" t="s">
        <v>615</v>
      </c>
      <c r="B163" s="228"/>
      <c r="C163" s="69"/>
      <c r="D163" s="173">
        <f>ROUND((D$164-D$161)*SUM(Data!C$178,-Data!C$179*1/3)/SUM(Data!C$174:C$176,-Data!C$177,Data!C$178,-Data!C$179),3)</f>
        <v>2.9860000000000002</v>
      </c>
      <c r="E163" s="173">
        <f>ROUND((E$164-E$161)*SUM(Data!D$178,-Data!D$179*1/3)/SUM(Data!D$174:D$176,-Data!D$177,Data!D$178,-Data!D$179),3)</f>
        <v>4.8140000000000001</v>
      </c>
      <c r="F163" s="173">
        <f>ROUND((F$164-F$161)*SUM(Data!E$178,-Data!E$179*1/3)/SUM(Data!E$174:E$176,-Data!E$177,Data!E$178,-Data!E$179),3)</f>
        <v>5.85</v>
      </c>
      <c r="G163" s="173">
        <f>ROUND((G$164-G$161)*SUM(Data!F$178,-Data!F$179*1/3)/SUM(Data!F$174:F$176,-Data!F$177,Data!F$178,-Data!F$179),3)</f>
        <v>5.56</v>
      </c>
      <c r="H163" s="173">
        <f>ROUND((H$164-H$161)*SUM(Data!G$178,-Data!G$179*1/3)/SUM(Data!G$174:G$176,-Data!G$177,Data!G$178,-Data!G$179),3)</f>
        <v>6.1669999999999998</v>
      </c>
      <c r="I163" s="173">
        <f>ROUND((I$164-I$161)*SUM(Data!H$178,-Data!H$179*1/3)/SUM(Data!H$174:H$176,-Data!H$177,Data!H$178,-Data!H$179),3)</f>
        <v>6.1029999999999998</v>
      </c>
      <c r="J163" s="127">
        <f>ROUND((J$164-J$161)*SUM(Data!I$178,-Data!I$179*1/3)/SUM(Data!I$174:I$176,-Data!I$177,Data!I$178,-Data!I$179),3)</f>
        <v>6.9720000000000004</v>
      </c>
      <c r="K163" s="127">
        <f>ROUND((K$164-K$161)*SUM(Data!J$178,-Data!J$179*1/3)/SUM(Data!J$174:J$176,-Data!J$177,Data!J$178,-Data!J$179),3)</f>
        <v>8.41</v>
      </c>
      <c r="L163" s="127">
        <f>ROUND((L$164-L$161)*SUM(Data!K$178,-Data!K$179*1/3)/SUM(Data!K$174:K$176,-Data!K$177,Data!K$178,-Data!K$179),3)</f>
        <v>9.9260000000000002</v>
      </c>
      <c r="M163" s="127">
        <f>ROUND((M$164-M$161)*SUM(Data!L$178,-Data!L$179*1/3)/SUM(Data!L$174:L$176,-Data!L$177,Data!L$178,-Data!L$179),3)</f>
        <v>10.746</v>
      </c>
      <c r="N163" s="127">
        <f>ROUND((N$164-N$161)*SUM(Data!M$178,-Data!M$179*1/3)/SUM(Data!M$174:M$176,-Data!M$177,Data!M$178,-Data!M$179),3)</f>
        <v>11.486000000000001</v>
      </c>
      <c r="O163" s="81">
        <f t="shared" ref="O163:X163" ca="1" si="79">N$163*(1+O$245)</f>
        <v>12.001409196267867</v>
      </c>
      <c r="P163" s="81">
        <f t="shared" ca="1" si="79"/>
        <v>12.541359240543667</v>
      </c>
      <c r="Q163" s="81">
        <f t="shared" ca="1" si="79"/>
        <v>13.120059019383463</v>
      </c>
      <c r="R163" s="81">
        <f t="shared" ca="1" si="79"/>
        <v>13.727071678491562</v>
      </c>
      <c r="S163" s="81">
        <f t="shared" ca="1" si="79"/>
        <v>14.358316386629589</v>
      </c>
      <c r="T163" s="81">
        <f t="shared" ca="1" si="79"/>
        <v>15.006583922903268</v>
      </c>
      <c r="U163" s="81">
        <f t="shared" ca="1" si="79"/>
        <v>15.673381499172898</v>
      </c>
      <c r="V163" s="81">
        <f t="shared" ca="1" si="79"/>
        <v>16.365895846500166</v>
      </c>
      <c r="W163" s="81">
        <f t="shared" ca="1" si="79"/>
        <v>17.080000367125724</v>
      </c>
      <c r="X163" s="81">
        <f t="shared" ca="1" si="79"/>
        <v>17.814244984658316</v>
      </c>
    </row>
    <row r="164" spans="1:24" x14ac:dyDescent="0.2">
      <c r="A164" s="27" t="s">
        <v>315</v>
      </c>
      <c r="B164" s="228"/>
      <c r="C164" s="69"/>
      <c r="D164" s="71">
        <f>SUM(Data!C$60:C$61)</f>
        <v>45.706000000000003</v>
      </c>
      <c r="E164" s="71">
        <f>SUM(Data!D$60:D$61)</f>
        <v>54.152999999999999</v>
      </c>
      <c r="F164" s="71">
        <f>SUM(Data!E$60:E$61)</f>
        <v>56.867999999999995</v>
      </c>
      <c r="G164" s="71">
        <f>SUM(Data!F$60:F$61)</f>
        <v>55.866</v>
      </c>
      <c r="H164" s="71">
        <f>SUM(Data!G$60:G$61)</f>
        <v>63.303999999999995</v>
      </c>
      <c r="I164" s="71">
        <f>SUM(Data!H$60:H$61)</f>
        <v>62.769999999999996</v>
      </c>
      <c r="J164" s="128">
        <f>SUM(Data!I$60:I$61)</f>
        <v>57.008000000000003</v>
      </c>
      <c r="K164" s="128">
        <f>SUM(Data!J$60:J$61)</f>
        <v>62.888999999999996</v>
      </c>
      <c r="L164" s="128">
        <f>SUM(Data!K$60:K$61)</f>
        <v>58.372</v>
      </c>
      <c r="M164" s="128">
        <f>SUM(Data!L$60:L$61)</f>
        <v>63.939</v>
      </c>
      <c r="N164" s="128">
        <f>SUM(Data!M$60:M$61)</f>
        <v>72.343999999999994</v>
      </c>
      <c r="O164" s="42">
        <f t="shared" ref="O164:X164" ca="1" si="80">SUM(O$161:O$163)</f>
        <v>75.251376295175518</v>
      </c>
      <c r="P164" s="42">
        <f t="shared" ca="1" si="80"/>
        <v>78.303962423408151</v>
      </c>
      <c r="Q164" s="42">
        <f t="shared" ca="1" si="80"/>
        <v>81.550607076344861</v>
      </c>
      <c r="R164" s="42">
        <f t="shared" ca="1" si="80"/>
        <v>86.962292990126201</v>
      </c>
      <c r="S164" s="42">
        <f t="shared" ca="1" si="80"/>
        <v>92.564520697219905</v>
      </c>
      <c r="T164" s="42">
        <f t="shared" ca="1" si="80"/>
        <v>98.331171506016176</v>
      </c>
      <c r="U164" s="42">
        <f t="shared" ca="1" si="80"/>
        <v>104.23052786898509</v>
      </c>
      <c r="V164" s="42">
        <f t="shared" ca="1" si="80"/>
        <v>110.26961875320248</v>
      </c>
      <c r="W164" s="42">
        <f t="shared" ca="1" si="80"/>
        <v>116.40068952104389</v>
      </c>
      <c r="X164" s="42">
        <f t="shared" ca="1" si="80"/>
        <v>122.59559217594195</v>
      </c>
    </row>
    <row r="165" spans="1:24" x14ac:dyDescent="0.2">
      <c r="A165" s="27" t="s">
        <v>1049</v>
      </c>
      <c r="B165" s="69"/>
      <c r="C165" s="69"/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128">
        <v>0</v>
      </c>
      <c r="K165" s="128">
        <v>0</v>
      </c>
      <c r="L165" s="128">
        <v>0</v>
      </c>
      <c r="M165" s="128">
        <v>0</v>
      </c>
      <c r="N165" s="128">
        <v>0</v>
      </c>
      <c r="O165" s="75">
        <f ca="1">O$234-O$237</f>
        <v>0</v>
      </c>
      <c r="P165" s="75">
        <f t="shared" ref="P165:X165" ca="1" si="81">P$234-P$237</f>
        <v>0</v>
      </c>
      <c r="Q165" s="75">
        <f t="shared" ca="1" si="81"/>
        <v>0</v>
      </c>
      <c r="R165" s="75">
        <f t="shared" ca="1" si="81"/>
        <v>0</v>
      </c>
      <c r="S165" s="75">
        <f t="shared" ca="1" si="81"/>
        <v>0</v>
      </c>
      <c r="T165" s="75">
        <f t="shared" ca="1" si="81"/>
        <v>0</v>
      </c>
      <c r="U165" s="75">
        <f t="shared" ca="1" si="81"/>
        <v>0</v>
      </c>
      <c r="V165" s="75">
        <f t="shared" ca="1" si="81"/>
        <v>0</v>
      </c>
      <c r="W165" s="75">
        <f t="shared" ca="1" si="81"/>
        <v>0</v>
      </c>
      <c r="X165" s="75">
        <f t="shared" ca="1" si="81"/>
        <v>0</v>
      </c>
    </row>
    <row r="166" spans="1:24" x14ac:dyDescent="0.2">
      <c r="A166" s="27" t="s">
        <v>1058</v>
      </c>
      <c r="B166" s="69"/>
      <c r="C166" s="69"/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  <c r="O166" s="75">
        <f ca="1">O$165*IF(O$234&lt;=0,OFFSET(Scenarios!$A$49,0,$C$1),O$232/O$234)</f>
        <v>0</v>
      </c>
      <c r="P166" s="75">
        <f ca="1">P$165*IF(P$234&lt;=0,OFFSET(Scenarios!$A$49,0,$C$1),P$232/P$234)</f>
        <v>0</v>
      </c>
      <c r="Q166" s="75">
        <f ca="1">Q$165*IF(Q$234&lt;=0,OFFSET(Scenarios!$A$49,0,$C$1),Q$232/Q$234)</f>
        <v>0</v>
      </c>
      <c r="R166" s="75">
        <f ca="1">R$165*IF(R$234&lt;=0,OFFSET(Scenarios!$A$49,0,$C$1),R$232/R$234)</f>
        <v>0</v>
      </c>
      <c r="S166" s="75">
        <f ca="1">S$165*IF(S$234&lt;=0,OFFSET(Scenarios!$A$49,0,$C$1),S$232/S$234)</f>
        <v>0</v>
      </c>
      <c r="T166" s="75">
        <f ca="1">T$165*IF(T$234&lt;=0,OFFSET(Scenarios!$A$49,0,$C$1),T$232/T$234)</f>
        <v>0</v>
      </c>
      <c r="U166" s="75">
        <f ca="1">U$165*IF(U$234&lt;=0,OFFSET(Scenarios!$A$49,0,$C$1),U$232/U$234)</f>
        <v>0</v>
      </c>
      <c r="V166" s="75">
        <f ca="1">V$165*IF(V$234&lt;=0,OFFSET(Scenarios!$A$49,0,$C$1),V$232/V$234)</f>
        <v>0</v>
      </c>
      <c r="W166" s="75">
        <f ca="1">W$165*IF(W$234&lt;=0,OFFSET(Scenarios!$A$49,0,$C$1),W$232/W$234)</f>
        <v>0</v>
      </c>
      <c r="X166" s="75">
        <f ca="1">X$165*IF(X$234&lt;=0,OFFSET(Scenarios!$A$49,0,$C$1),X$232/X$234)</f>
        <v>0</v>
      </c>
    </row>
    <row r="167" spans="1:24" x14ac:dyDescent="0.2">
      <c r="A167" s="27"/>
      <c r="B167" s="69"/>
      <c r="C167" s="69"/>
      <c r="D167" s="99"/>
      <c r="E167" s="99"/>
      <c r="F167" s="99"/>
      <c r="G167" s="99"/>
      <c r="H167" s="99"/>
      <c r="I167" s="99"/>
      <c r="J167" s="128"/>
      <c r="K167" s="128"/>
      <c r="L167" s="128"/>
      <c r="M167" s="128"/>
      <c r="N167" s="128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x14ac:dyDescent="0.2">
      <c r="A168" s="106" t="s">
        <v>628</v>
      </c>
      <c r="B168" s="42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1:24" x14ac:dyDescent="0.2">
      <c r="A169" s="30" t="s">
        <v>133</v>
      </c>
      <c r="B169" s="36"/>
      <c r="C169" s="69"/>
      <c r="D169" s="69">
        <f>Data!C$197</f>
        <v>9.8550000000000004</v>
      </c>
      <c r="E169" s="69">
        <f t="shared" ref="E169:O169" si="82">D$176</f>
        <v>12.973000000000001</v>
      </c>
      <c r="F169" s="69">
        <f t="shared" si="82"/>
        <v>14.212000000000002</v>
      </c>
      <c r="G169" s="69">
        <f t="shared" si="82"/>
        <v>13.688000000000001</v>
      </c>
      <c r="H169" s="69">
        <f t="shared" si="82"/>
        <v>15.656000000000004</v>
      </c>
      <c r="I169" s="69">
        <f t="shared" si="82"/>
        <v>18.652000000000005</v>
      </c>
      <c r="J169" s="103">
        <f t="shared" si="82"/>
        <v>18.703000000000003</v>
      </c>
      <c r="K169" s="103">
        <f>J$176</f>
        <v>21.752000000000002</v>
      </c>
      <c r="L169" s="103">
        <f>K$176</f>
        <v>23.283000000000001</v>
      </c>
      <c r="M169" s="103">
        <f>L$176</f>
        <v>24.918000000000003</v>
      </c>
      <c r="N169" s="103">
        <f>M$176</f>
        <v>26.679000000000002</v>
      </c>
      <c r="O169" s="73">
        <f t="shared" si="82"/>
        <v>28.577000000000002</v>
      </c>
      <c r="P169" s="73">
        <f t="shared" ref="P169:X169" si="83">O$176</f>
        <v>30.226203830818449</v>
      </c>
      <c r="Q169" s="73">
        <f t="shared" si="83"/>
        <v>31.99406220157055</v>
      </c>
      <c r="R169" s="73">
        <f t="shared" si="83"/>
        <v>33.890169059946132</v>
      </c>
      <c r="S169" s="73">
        <f t="shared" si="83"/>
        <v>38.676424253140304</v>
      </c>
      <c r="T169" s="73">
        <f t="shared" si="83"/>
        <v>43.632872607207361</v>
      </c>
      <c r="U169" s="73">
        <f t="shared" si="83"/>
        <v>48.746597921199651</v>
      </c>
      <c r="V169" s="73">
        <f t="shared" si="83"/>
        <v>53.968485075827402</v>
      </c>
      <c r="W169" s="73">
        <f t="shared" si="83"/>
        <v>59.284510291961503</v>
      </c>
      <c r="X169" s="73">
        <f t="shared" si="83"/>
        <v>64.64173319444852</v>
      </c>
    </row>
    <row r="170" spans="1:24" x14ac:dyDescent="0.2">
      <c r="A170" s="152" t="s">
        <v>312</v>
      </c>
      <c r="B170" s="228"/>
      <c r="C170" s="69"/>
      <c r="D170" s="69">
        <f>Data!C$198</f>
        <v>2.0490000000000004</v>
      </c>
      <c r="E170" s="69">
        <f>Data!D$198</f>
        <v>2.1040000000000001</v>
      </c>
      <c r="F170" s="69">
        <f>Data!E$198</f>
        <v>2.2429999999999999</v>
      </c>
      <c r="G170" s="69">
        <f>Data!F$198</f>
        <v>0.25</v>
      </c>
      <c r="H170" s="69">
        <f>Data!G$198</f>
        <v>0</v>
      </c>
      <c r="I170" s="69">
        <f>Data!H$198</f>
        <v>0</v>
      </c>
      <c r="J170" s="103">
        <f>Data!I$198</f>
        <v>0</v>
      </c>
      <c r="K170" s="103">
        <f>Data!J$198</f>
        <v>0</v>
      </c>
      <c r="L170" s="103">
        <f>Data!K$198</f>
        <v>0</v>
      </c>
      <c r="M170" s="103">
        <f>Data!L$198</f>
        <v>0</v>
      </c>
      <c r="N170" s="103">
        <f>Data!M$198</f>
        <v>0</v>
      </c>
      <c r="O170" s="73">
        <f>IF(Tracks!R$5=0,Tracks!S$5,N$170*Tracks!S$5/Tracks!R$5)</f>
        <v>0</v>
      </c>
      <c r="P170" s="73">
        <f>IF(Tracks!S$5=0,Tracks!T$5,O$170*Tracks!T$5/Tracks!S$5)</f>
        <v>0</v>
      </c>
      <c r="Q170" s="73">
        <f>IF(Tracks!T$5=0,Tracks!U$5,P$170*Tracks!U$5/Tracks!T$5)</f>
        <v>0</v>
      </c>
      <c r="R170" s="73">
        <f>IF(Tracks!U$5=0,Tracks!V$5,Q$170*Tracks!V$5/Tracks!U$5)</f>
        <v>2.6749999999999998</v>
      </c>
      <c r="S170" s="73">
        <f>IF(Tracks!V$5=0,Tracks!W$5,R$170*Tracks!W$5/Tracks!V$5)</f>
        <v>2.54</v>
      </c>
      <c r="T170" s="73">
        <f>IF(Tracks!W$5=0,Tracks!X$5,S$170*Tracks!X$5/Tracks!W$5)</f>
        <v>2.4009999999999998</v>
      </c>
      <c r="U170" s="73">
        <f>IF(Tracks!X$5=0,Tracks!Y$5,T$170*Tracks!Y$5/Tracks!X$5)</f>
        <v>2.2050000000000001</v>
      </c>
      <c r="V170" s="73">
        <f>IF(Tracks!Y$5=0,Tracks!Z$5,U$170*Tracks!Z$5/Tracks!Y$5)</f>
        <v>1.9889999999999999</v>
      </c>
      <c r="W170" s="73">
        <f>IF(Tracks!Z$5=0,Tracks!AA$5,V$170*Tracks!AA$5/Tracks!Z$5)</f>
        <v>1.7159999999999997</v>
      </c>
      <c r="X170" s="73">
        <f>IF(Tracks!AA$5=0,Tracks!AB$5,W$170*Tracks!AB$5/Tracks!AA$5)</f>
        <v>1.4069999999999998</v>
      </c>
    </row>
    <row r="171" spans="1:24" x14ac:dyDescent="0.2">
      <c r="A171" s="152" t="s">
        <v>623</v>
      </c>
      <c r="B171" s="228"/>
      <c r="C171" s="69"/>
      <c r="D171" s="69">
        <f>Data!C$193</f>
        <v>0.436</v>
      </c>
      <c r="E171" s="69">
        <f>Data!D$193</f>
        <v>0.38500000000000001</v>
      </c>
      <c r="F171" s="69">
        <f>Data!E$193</f>
        <v>0.38300000000000001</v>
      </c>
      <c r="G171" s="69">
        <f>Data!F$193</f>
        <v>0.433</v>
      </c>
      <c r="H171" s="69">
        <f>Data!G$193</f>
        <v>0.51800000000000002</v>
      </c>
      <c r="I171" s="69">
        <f>Data!H$193</f>
        <v>0.53900000000000003</v>
      </c>
      <c r="J171" s="103">
        <f>Data!I$193</f>
        <v>0.64700000000000002</v>
      </c>
      <c r="K171" s="103">
        <f>Data!J$193</f>
        <v>0.77700000000000002</v>
      </c>
      <c r="L171" s="103">
        <f>Data!K$193</f>
        <v>0.80500000000000005</v>
      </c>
      <c r="M171" s="103">
        <f>Data!L$193</f>
        <v>0.86</v>
      </c>
      <c r="N171" s="103">
        <f>Data!M$193</f>
        <v>0.91800000000000004</v>
      </c>
      <c r="O171" s="73">
        <f>N$171*Tracks!S$6/Tracks!R$6</f>
        <v>0.79525208886168919</v>
      </c>
      <c r="P171" s="73">
        <f>O$171*Tracks!T$6/Tracks!S$6</f>
        <v>0.85246773981511936</v>
      </c>
      <c r="Q171" s="73">
        <f>P$171*Tracks!U$6/Tracks!T$6</f>
        <v>0.91430962725805276</v>
      </c>
      <c r="R171" s="73">
        <f>Q$171*Tracks!V$6/Tracks!U$6</f>
        <v>1.0180549372569283</v>
      </c>
      <c r="S171" s="73">
        <f>R$171*Tracks!W$6/Tracks!V$6</f>
        <v>1.1652201900625911</v>
      </c>
      <c r="T171" s="73">
        <f>S$171*Tracks!X$6/Tracks!W$6</f>
        <v>1.3080860183242249</v>
      </c>
      <c r="U171" s="73">
        <f>T$171*Tracks!Y$6/Tracks!X$6</f>
        <v>1.454753964758311</v>
      </c>
      <c r="V171" s="73">
        <f>U$171*Tracks!Z$6/Tracks!Y$6</f>
        <v>1.6043036666444859</v>
      </c>
      <c r="W171" s="73">
        <f>V$171*Tracks!AA$6/Tracks!Z$6</f>
        <v>1.7558109344051176</v>
      </c>
      <c r="X171" s="73">
        <f>W$171*Tracks!AB$6/Tracks!AA$6</f>
        <v>1.9080211687307396</v>
      </c>
    </row>
    <row r="172" spans="1:24" x14ac:dyDescent="0.2">
      <c r="A172" s="152" t="s">
        <v>627</v>
      </c>
      <c r="B172" s="228"/>
      <c r="C172" s="69"/>
      <c r="D172" s="69">
        <f>Data!C$196</f>
        <v>1.3129999999999999</v>
      </c>
      <c r="E172" s="69">
        <f>Data!D$196</f>
        <v>-0.995</v>
      </c>
      <c r="F172" s="69">
        <f>Data!E$196</f>
        <v>-3.4950000000000001</v>
      </c>
      <c r="G172" s="69">
        <f>Data!F$196</f>
        <v>1.75</v>
      </c>
      <c r="H172" s="69">
        <f>Data!G$196</f>
        <v>3.5179999999999998</v>
      </c>
      <c r="I172" s="69">
        <f>Data!H$196</f>
        <v>-0.20399999999999999</v>
      </c>
      <c r="J172" s="103">
        <f>Data!I$196</f>
        <v>3.431</v>
      </c>
      <c r="K172" s="103">
        <f>Data!J$196</f>
        <v>1.3580000000000001</v>
      </c>
      <c r="L172" s="103">
        <f>Data!K$196</f>
        <v>1.466</v>
      </c>
      <c r="M172" s="103">
        <f>Data!L$196</f>
        <v>1.585</v>
      </c>
      <c r="N172" s="103">
        <f>Data!M$196</f>
        <v>1.718</v>
      </c>
      <c r="O172" s="73">
        <f>N$172*Tracks!S$6/Tracks!R$6</f>
        <v>1.4882822316605469</v>
      </c>
      <c r="P172" s="73">
        <f>O$172*Tracks!T$6/Tracks!S$6</f>
        <v>1.5953590163424565</v>
      </c>
      <c r="Q172" s="73">
        <f>P$172*Tracks!U$6/Tracks!T$6</f>
        <v>1.7110936161539592</v>
      </c>
      <c r="R172" s="73">
        <f>Q$172*Tracks!V$6/Tracks!U$6</f>
        <v>1.9052487823610051</v>
      </c>
      <c r="S172" s="73">
        <f>R$172*Tracks!W$6/Tracks!V$6</f>
        <v>2.1806626214896858</v>
      </c>
      <c r="T172" s="73">
        <f>S$172*Tracks!X$6/Tracks!W$6</f>
        <v>2.4480302608725686</v>
      </c>
      <c r="U172" s="73">
        <f>T$172*Tracks!Y$6/Tracks!X$6</f>
        <v>2.722513411170782</v>
      </c>
      <c r="V172" s="73">
        <f>U$172*Tracks!Z$6/Tracks!Y$6</f>
        <v>3.0023896506483951</v>
      </c>
      <c r="W172" s="73">
        <f>V$172*Tracks!AA$6/Tracks!Z$6</f>
        <v>3.2859293957603399</v>
      </c>
      <c r="X172" s="73">
        <f>W$172*Tracks!AB$6/Tracks!AA$6</f>
        <v>3.5707847144655886</v>
      </c>
    </row>
    <row r="173" spans="1:24" x14ac:dyDescent="0.2">
      <c r="A173" s="158" t="s">
        <v>625</v>
      </c>
      <c r="B173" s="228"/>
      <c r="C173" s="69"/>
      <c r="D173" s="69">
        <f>Data!C$194</f>
        <v>-5.1999999999999998E-2</v>
      </c>
      <c r="E173" s="69">
        <f>Data!D$194</f>
        <v>3.4000000000000002E-2</v>
      </c>
      <c r="F173" s="69">
        <f>Data!E$194</f>
        <v>-0.32300000000000001</v>
      </c>
      <c r="G173" s="69">
        <f>Data!F$194</f>
        <v>0.502</v>
      </c>
      <c r="H173" s="69">
        <f>Data!G$194</f>
        <v>0.16900000000000001</v>
      </c>
      <c r="I173" s="69">
        <f>Data!H$194</f>
        <v>0.13200000000000001</v>
      </c>
      <c r="J173" s="103">
        <f>Data!I$194</f>
        <v>0.14599999999999999</v>
      </c>
      <c r="K173" s="103">
        <f>Data!J$194</f>
        <v>0.14799999999999999</v>
      </c>
      <c r="L173" s="103">
        <f>Data!K$194</f>
        <v>0.16</v>
      </c>
      <c r="M173" s="103">
        <f>Data!L$194</f>
        <v>0.17100000000000001</v>
      </c>
      <c r="N173" s="103">
        <f>Data!M$194</f>
        <v>0.185</v>
      </c>
      <c r="O173" s="73">
        <f>N$173*Tracks!S$6/Tracks!R$6</f>
        <v>0.16026322052223582</v>
      </c>
      <c r="P173" s="73">
        <f>O$173*Tracks!T$6/Tracks!S$6</f>
        <v>0.17179360769694668</v>
      </c>
      <c r="Q173" s="73">
        <f>P$173*Tracks!U$6/Tracks!T$6</f>
        <v>0.18425629743217833</v>
      </c>
      <c r="R173" s="73">
        <f>Q$173*Tracks!V$6/Tracks!U$6</f>
        <v>0.20516357668031773</v>
      </c>
      <c r="S173" s="73">
        <f>R$173*Tracks!W$6/Tracks!V$6</f>
        <v>0.23482106226751556</v>
      </c>
      <c r="T173" s="73">
        <f>S$173*Tracks!X$6/Tracks!W$6</f>
        <v>0.26361210608930447</v>
      </c>
      <c r="U173" s="73">
        <f>T$173*Tracks!Y$6/Tracks!X$6</f>
        <v>0.2931693719828839</v>
      </c>
      <c r="V173" s="73">
        <f>U$173*Tracks!Z$6/Tracks!Y$6</f>
        <v>0.32330738380090385</v>
      </c>
      <c r="W173" s="73">
        <f>V$173*Tracks!AA$6/Tracks!Z$6</f>
        <v>0.35383989418839501</v>
      </c>
      <c r="X173" s="73">
        <f>W$173*Tracks!AB$6/Tracks!AA$6</f>
        <v>0.3845140699511837</v>
      </c>
    </row>
    <row r="174" spans="1:24" x14ac:dyDescent="0.2">
      <c r="A174" s="158" t="s">
        <v>624</v>
      </c>
      <c r="B174" s="228"/>
      <c r="C174" s="69"/>
      <c r="D174" s="69">
        <f>Data!C$195</f>
        <v>0.70699999999999996</v>
      </c>
      <c r="E174" s="69">
        <f>Data!D$195</f>
        <v>0.23699999999999999</v>
      </c>
      <c r="F174" s="69">
        <f>Data!E$195</f>
        <v>4.0000000000000001E-3</v>
      </c>
      <c r="G174" s="69">
        <f>Data!F$195</f>
        <v>-2.7E-2</v>
      </c>
      <c r="H174" s="69">
        <f>Data!G$195</f>
        <v>0.872</v>
      </c>
      <c r="I174" s="69">
        <f>Data!H$195</f>
        <v>0.16</v>
      </c>
      <c r="J174" s="103">
        <f>Data!I$195</f>
        <v>0.89</v>
      </c>
      <c r="K174" s="103">
        <f>Data!J$195</f>
        <v>0.47799999999999998</v>
      </c>
      <c r="L174" s="103">
        <f>Data!K$195</f>
        <v>0.51100000000000001</v>
      </c>
      <c r="M174" s="103">
        <f>Data!L$195</f>
        <v>0.55100000000000005</v>
      </c>
      <c r="N174" s="103">
        <f>Data!M$195</f>
        <v>0.59399999999999997</v>
      </c>
      <c r="O174" s="73">
        <f>N$174*Tracks!S$7/Tracks!R$7</f>
        <v>0.50958506400000003</v>
      </c>
      <c r="P174" s="73">
        <f>O$174*Tracks!T$7/Tracks!S$7</f>
        <v>0.54624795563055095</v>
      </c>
      <c r="Q174" s="73">
        <f>P$174*Tracks!U$7/Tracks!T$7</f>
        <v>0.58587526703516002</v>
      </c>
      <c r="R174" s="73">
        <f>Q$174*Tracks!V$7/Tracks!U$7</f>
        <v>0.65235363430502769</v>
      </c>
      <c r="S174" s="73">
        <f>R$174*Tracks!W$7/Tracks!V$7</f>
        <v>0.74665481982834259</v>
      </c>
      <c r="T174" s="73">
        <f>S$174*Tracks!X$7/Tracks!W$7</f>
        <v>0.83820100154579713</v>
      </c>
      <c r="U174" s="73">
        <f>T$174*Tracks!Y$7/Tracks!X$7</f>
        <v>0.93218352094709001</v>
      </c>
      <c r="V174" s="73">
        <f>U$174*Tracks!Z$7/Tracks!Y$7</f>
        <v>1.0280126240380743</v>
      </c>
      <c r="W174" s="73">
        <f>V$174*Tracks!AA$7/Tracks!Z$7</f>
        <v>1.1250961046344947</v>
      </c>
      <c r="X174" s="73">
        <f>W$174*Tracks!AB$7/Tracks!AA$7</f>
        <v>1.2226300351788344</v>
      </c>
    </row>
    <row r="175" spans="1:24" x14ac:dyDescent="0.2">
      <c r="A175" s="152" t="s">
        <v>626</v>
      </c>
      <c r="B175" s="228"/>
      <c r="C175" s="69"/>
      <c r="D175" s="173">
        <f>Data!C$199</f>
        <v>-2.5000000000000001E-2</v>
      </c>
      <c r="E175" s="173">
        <f>Data!D$199</f>
        <v>1.6E-2</v>
      </c>
      <c r="F175" s="173">
        <f>Data!E$199</f>
        <v>2.5999999999999999E-2</v>
      </c>
      <c r="G175" s="173">
        <f>Data!F$199</f>
        <v>0.01</v>
      </c>
      <c r="H175" s="173">
        <f>Data!G$199</f>
        <v>1E-3</v>
      </c>
      <c r="I175" s="173">
        <f>Data!H$199</f>
        <v>8.0000000000000002E-3</v>
      </c>
      <c r="J175" s="127">
        <f>Data!I$199</f>
        <v>7.0000000000000001E-3</v>
      </c>
      <c r="K175" s="127">
        <f>Data!J$199</f>
        <v>2.1999999999999999E-2</v>
      </c>
      <c r="L175" s="127">
        <f>Data!K$199</f>
        <v>3.5000000000000003E-2</v>
      </c>
      <c r="M175" s="127">
        <f>Data!L$199</f>
        <v>3.7999999999999999E-2</v>
      </c>
      <c r="N175" s="127">
        <f>Data!M$199</f>
        <v>4.1000000000000002E-2</v>
      </c>
      <c r="O175" s="269">
        <f>N$175*Tracks!S$8/Tracks!R$8</f>
        <v>3.5517794818441459E-2</v>
      </c>
      <c r="P175" s="269">
        <f>O$175*Tracks!T$8/Tracks!S$8</f>
        <v>3.8073177922026032E-2</v>
      </c>
      <c r="Q175" s="269">
        <f>P$175*Tracks!U$8/Tracks!T$8</f>
        <v>4.0835179430915212E-2</v>
      </c>
      <c r="R175" s="269">
        <f>Q$175*Tracks!V$8/Tracks!U$8</f>
        <v>4.5468684561583948E-2</v>
      </c>
      <c r="S175" s="269">
        <f>R$175*Tracks!W$8/Tracks!V$8</f>
        <v>5.2041424610638605E-2</v>
      </c>
      <c r="T175" s="269">
        <f>S$175*Tracks!X$8/Tracks!W$8</f>
        <v>5.8422142430602633E-2</v>
      </c>
      <c r="U175" s="269">
        <f>T$175*Tracks!Y$8/Tracks!X$8</f>
        <v>6.4972671628639164E-2</v>
      </c>
      <c r="V175" s="269">
        <f>U$175*Tracks!Z$8/Tracks!Y$8</f>
        <v>7.1651906680200356E-2</v>
      </c>
      <c r="W175" s="269">
        <f>V$175*Tracks!AA$8/Tracks!Z$8</f>
        <v>7.8418571144455149E-2</v>
      </c>
      <c r="X175" s="269">
        <f>W$175*Tracks!AB$8/Tracks!AA$8</f>
        <v>8.5216631718911029E-2</v>
      </c>
    </row>
    <row r="176" spans="1:24" x14ac:dyDescent="0.2">
      <c r="A176" s="27" t="s">
        <v>134</v>
      </c>
      <c r="B176" s="36"/>
      <c r="C176" s="69"/>
      <c r="D176" s="71">
        <f t="shared" ref="D176:I176" si="84">SUM(D$169:D$172,D$175)-SUM(D$173:D$174)</f>
        <v>12.973000000000001</v>
      </c>
      <c r="E176" s="71">
        <f t="shared" si="84"/>
        <v>14.212000000000002</v>
      </c>
      <c r="F176" s="71">
        <f t="shared" si="84"/>
        <v>13.688000000000001</v>
      </c>
      <c r="G176" s="71">
        <f t="shared" si="84"/>
        <v>15.656000000000004</v>
      </c>
      <c r="H176" s="71">
        <f t="shared" si="84"/>
        <v>18.652000000000005</v>
      </c>
      <c r="I176" s="71">
        <f t="shared" si="84"/>
        <v>18.703000000000003</v>
      </c>
      <c r="J176" s="128">
        <f t="shared" ref="J176:X176" si="85">SUM(J$169:J$172,J$175)-SUM(J$173:J$174)</f>
        <v>21.752000000000002</v>
      </c>
      <c r="K176" s="128">
        <f t="shared" si="85"/>
        <v>23.283000000000001</v>
      </c>
      <c r="L176" s="128">
        <f t="shared" si="85"/>
        <v>24.918000000000003</v>
      </c>
      <c r="M176" s="128">
        <f t="shared" si="85"/>
        <v>26.679000000000002</v>
      </c>
      <c r="N176" s="128">
        <f t="shared" si="85"/>
        <v>28.577000000000002</v>
      </c>
      <c r="O176" s="75">
        <f t="shared" si="85"/>
        <v>30.226203830818449</v>
      </c>
      <c r="P176" s="75">
        <f t="shared" si="85"/>
        <v>31.99406220157055</v>
      </c>
      <c r="Q176" s="75">
        <f t="shared" si="85"/>
        <v>33.890169059946132</v>
      </c>
      <c r="R176" s="75">
        <f t="shared" si="85"/>
        <v>38.676424253140304</v>
      </c>
      <c r="S176" s="75">
        <f t="shared" si="85"/>
        <v>43.632872607207361</v>
      </c>
      <c r="T176" s="75">
        <f t="shared" si="85"/>
        <v>48.746597921199651</v>
      </c>
      <c r="U176" s="75">
        <f t="shared" si="85"/>
        <v>53.968485075827402</v>
      </c>
      <c r="V176" s="75">
        <f t="shared" si="85"/>
        <v>59.284510291961503</v>
      </c>
      <c r="W176" s="75">
        <f t="shared" si="85"/>
        <v>64.64173319444852</v>
      </c>
      <c r="X176" s="75">
        <f t="shared" si="85"/>
        <v>70.005611604233735</v>
      </c>
    </row>
    <row r="177" spans="1:24" x14ac:dyDescent="0.2">
      <c r="A177" s="106" t="s">
        <v>649</v>
      </c>
      <c r="B177" s="42"/>
      <c r="C177" s="69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">
      <c r="A178" s="220" t="s">
        <v>684</v>
      </c>
      <c r="B178" s="228"/>
      <c r="C178" s="69"/>
      <c r="D178" s="69">
        <f>Data!C$202</f>
        <v>0.11899999999999999</v>
      </c>
      <c r="E178" s="69">
        <f>Data!D$202</f>
        <v>9.7000000000000003E-2</v>
      </c>
      <c r="F178" s="69">
        <f>Data!E$202</f>
        <v>7.6999999999999999E-2</v>
      </c>
      <c r="G178" s="69">
        <f>Data!F$202</f>
        <v>8.1000000000000003E-2</v>
      </c>
      <c r="H178" s="69">
        <f>Data!G$202</f>
        <v>0.111</v>
      </c>
      <c r="I178" s="69">
        <f>Data!H$202</f>
        <v>7.6999999999999999E-2</v>
      </c>
      <c r="J178" s="103">
        <f>Data!I$202</f>
        <v>0.109</v>
      </c>
      <c r="K178" s="103">
        <f>Data!J$202</f>
        <v>0.108</v>
      </c>
      <c r="L178" s="103">
        <f>Data!K$202</f>
        <v>0.12</v>
      </c>
      <c r="M178" s="103">
        <f>Data!L$202</f>
        <v>0.13</v>
      </c>
      <c r="N178" s="103">
        <f>Data!M$202</f>
        <v>0.14199999999999999</v>
      </c>
      <c r="O178" s="73">
        <f t="shared" ref="O178:X178" si="86">N$178*O$173/N$173</f>
        <v>0.12301285034679721</v>
      </c>
      <c r="P178" s="73">
        <f t="shared" si="86"/>
        <v>0.13186320158360229</v>
      </c>
      <c r="Q178" s="73">
        <f t="shared" si="86"/>
        <v>0.14142915802902334</v>
      </c>
      <c r="R178" s="73">
        <f t="shared" si="86"/>
        <v>0.1574769075059736</v>
      </c>
      <c r="S178" s="73">
        <f t="shared" si="86"/>
        <v>0.18024103157830923</v>
      </c>
      <c r="T178" s="73">
        <f t="shared" si="86"/>
        <v>0.20234010305233097</v>
      </c>
      <c r="U178" s="73">
        <f t="shared" si="86"/>
        <v>0.22502730173821356</v>
      </c>
      <c r="V178" s="73">
        <f t="shared" si="86"/>
        <v>0.24816026216069373</v>
      </c>
      <c r="W178" s="73">
        <f t="shared" si="86"/>
        <v>0.27159602689055184</v>
      </c>
      <c r="X178" s="73">
        <f t="shared" si="86"/>
        <v>0.29514052936793561</v>
      </c>
    </row>
    <row r="179" spans="1:24" x14ac:dyDescent="0.2">
      <c r="A179" s="220" t="s">
        <v>648</v>
      </c>
      <c r="B179" s="228"/>
      <c r="C179" s="69"/>
      <c r="D179" s="69">
        <f>Data!C$90</f>
        <v>11.576000000000001</v>
      </c>
      <c r="E179" s="69">
        <f>Data!D$90</f>
        <v>12.933999999999999</v>
      </c>
      <c r="F179" s="69">
        <f>Data!E$90</f>
        <v>11.486000000000001</v>
      </c>
      <c r="G179" s="69">
        <f>Data!F$90</f>
        <v>14.189</v>
      </c>
      <c r="H179" s="69">
        <f>Data!G$90</f>
        <v>16.158999999999999</v>
      </c>
      <c r="I179" s="69">
        <f>Data!H$90</f>
        <v>17.196000000000002</v>
      </c>
      <c r="J179" s="103">
        <f>Data!I$90</f>
        <v>21.33</v>
      </c>
      <c r="K179" s="103">
        <f>Data!J$90</f>
        <v>22.699000000000002</v>
      </c>
      <c r="L179" s="103">
        <f>Data!K$90</f>
        <v>24.295000000000002</v>
      </c>
      <c r="M179" s="103">
        <f>Data!L$90</f>
        <v>26.204000000000001</v>
      </c>
      <c r="N179" s="103">
        <f>Data!M$90</f>
        <v>28.15</v>
      </c>
      <c r="O179" s="73">
        <f>N$179*O$176/N$176</f>
        <v>29.774561284863324</v>
      </c>
      <c r="P179" s="73">
        <f t="shared" ref="P179:X179" si="87">O$179*P$176/O$176</f>
        <v>31.516004163285537</v>
      </c>
      <c r="Q179" s="73">
        <f t="shared" si="87"/>
        <v>33.38377922936219</v>
      </c>
      <c r="R179" s="73">
        <f t="shared" si="87"/>
        <v>38.098517784438506</v>
      </c>
      <c r="S179" s="73">
        <f t="shared" si="87"/>
        <v>42.980906459491436</v>
      </c>
      <c r="T179" s="73">
        <f t="shared" si="87"/>
        <v>48.018222048562471</v>
      </c>
      <c r="U179" s="73">
        <f t="shared" si="87"/>
        <v>53.162083314712568</v>
      </c>
      <c r="V179" s="73">
        <f t="shared" si="87"/>
        <v>58.398676023330509</v>
      </c>
      <c r="W179" s="73">
        <f t="shared" si="87"/>
        <v>63.675850838916801</v>
      </c>
      <c r="X179" s="73">
        <f t="shared" si="87"/>
        <v>68.959581714636911</v>
      </c>
    </row>
    <row r="180" spans="1:24" x14ac:dyDescent="0.2">
      <c r="A180" s="31"/>
      <c r="B180" s="36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1:24" x14ac:dyDescent="0.2">
      <c r="A181" s="106" t="s">
        <v>642</v>
      </c>
      <c r="B181" s="36"/>
      <c r="C181" s="69"/>
      <c r="D181" s="69"/>
      <c r="E181" s="69"/>
      <c r="F181" s="69"/>
      <c r="G181" s="103"/>
      <c r="H181" s="103"/>
      <c r="I181" s="103"/>
      <c r="J181" s="103"/>
      <c r="K181" s="103"/>
      <c r="L181" s="103"/>
    </row>
    <row r="182" spans="1:24" x14ac:dyDescent="0.2">
      <c r="A182" s="271" t="s">
        <v>811</v>
      </c>
      <c r="B182" s="264"/>
      <c r="C182" s="69"/>
      <c r="D182" s="262">
        <f>Data!C$92-D$184</f>
        <v>3.0759999999999996</v>
      </c>
      <c r="E182" s="262">
        <f>Data!D$92-E$184</f>
        <v>3.5359999999999996</v>
      </c>
      <c r="F182" s="262">
        <f>Data!E$92-F$184</f>
        <v>3.8760000000000003</v>
      </c>
      <c r="G182" s="262">
        <f>Data!F$92-G$184</f>
        <v>4.0770000000000035</v>
      </c>
      <c r="H182" s="262">
        <f>Data!G$92-H$184</f>
        <v>4.6190000000000033</v>
      </c>
      <c r="I182" s="262">
        <f>Data!H$92-I$184</f>
        <v>5.033000000000003</v>
      </c>
      <c r="J182" s="103">
        <f>Data!I$92-J$184</f>
        <v>4.9170000000000034</v>
      </c>
      <c r="K182" s="103">
        <f>Data!J$92-K$184</f>
        <v>5.3860000000000046</v>
      </c>
      <c r="L182" s="103">
        <f>Data!K$92-L$184</f>
        <v>5.632000000000005</v>
      </c>
      <c r="M182" s="103">
        <f>Data!L$92-M$184</f>
        <v>6.1400000000000059</v>
      </c>
      <c r="N182" s="103">
        <f>Data!M$92-N$184</f>
        <v>6.0720000000000027</v>
      </c>
      <c r="O182" s="258">
        <f t="shared" ref="O182:X182" ca="1" si="88">N$182*(1+O$247)</f>
        <v>6.1957600767386118</v>
      </c>
      <c r="P182" s="258">
        <f t="shared" ca="1" si="88"/>
        <v>6.319675278273384</v>
      </c>
      <c r="Q182" s="258">
        <f t="shared" ca="1" si="88"/>
        <v>6.446068783838852</v>
      </c>
      <c r="R182" s="258">
        <f t="shared" ca="1" si="88"/>
        <v>6.5749901595156288</v>
      </c>
      <c r="S182" s="258">
        <f t="shared" ca="1" si="88"/>
        <v>6.7064899627059411</v>
      </c>
      <c r="T182" s="258">
        <f t="shared" ca="1" si="88"/>
        <v>6.8406197619600597</v>
      </c>
      <c r="U182" s="258">
        <f t="shared" ca="1" si="88"/>
        <v>6.977432157199261</v>
      </c>
      <c r="V182" s="258">
        <f t="shared" ca="1" si="88"/>
        <v>7.1169808003432466</v>
      </c>
      <c r="W182" s="258">
        <f t="shared" ca="1" si="88"/>
        <v>7.2593204163501115</v>
      </c>
      <c r="X182" s="258">
        <f t="shared" ca="1" si="88"/>
        <v>7.4045068246771137</v>
      </c>
    </row>
    <row r="183" spans="1:24" x14ac:dyDescent="0.2">
      <c r="A183" s="271" t="s">
        <v>812</v>
      </c>
      <c r="B183" s="264"/>
      <c r="C183" s="69"/>
      <c r="D183" s="262">
        <f>Data!C$204</f>
        <v>0</v>
      </c>
      <c r="E183" s="262">
        <f>Data!D$204</f>
        <v>0</v>
      </c>
      <c r="F183" s="262">
        <f>Data!E$204</f>
        <v>0</v>
      </c>
      <c r="G183" s="262">
        <f>Data!F$204</f>
        <v>0.22</v>
      </c>
      <c r="H183" s="262">
        <f>Data!G$204</f>
        <v>0.36799999999999999</v>
      </c>
      <c r="I183" s="262">
        <f>Data!H$204</f>
        <v>0.25600000000000001</v>
      </c>
      <c r="J183" s="103">
        <f>Data!I$204</f>
        <v>0.25911000000000001</v>
      </c>
      <c r="K183" s="103">
        <f>Data!J$204</f>
        <v>0.25911000000000001</v>
      </c>
      <c r="L183" s="103">
        <f>Data!K$204</f>
        <v>0.25911000000000001</v>
      </c>
      <c r="M183" s="103">
        <f>Data!L$204</f>
        <v>0.25911000000000001</v>
      </c>
      <c r="N183" s="103">
        <f>Data!M$204</f>
        <v>0.25911000000000001</v>
      </c>
      <c r="O183" s="258">
        <f t="shared" ref="O183:X183" si="89">N$183*O$176/N$176</f>
        <v>0.274063466235202</v>
      </c>
      <c r="P183" s="258">
        <f t="shared" si="89"/>
        <v>0.29009278290404678</v>
      </c>
      <c r="Q183" s="258">
        <f t="shared" si="89"/>
        <v>0.30728493911616478</v>
      </c>
      <c r="R183" s="258">
        <f t="shared" si="89"/>
        <v>0.35068230703821895</v>
      </c>
      <c r="S183" s="258">
        <f t="shared" si="89"/>
        <v>0.39562283029196549</v>
      </c>
      <c r="T183" s="258">
        <f t="shared" si="89"/>
        <v>0.44198939662532943</v>
      </c>
      <c r="U183" s="258">
        <f t="shared" si="89"/>
        <v>0.48933667522824775</v>
      </c>
      <c r="V183" s="258">
        <f t="shared" si="89"/>
        <v>0.53753751134654248</v>
      </c>
      <c r="W183" s="258">
        <f t="shared" si="89"/>
        <v>0.58611189026187338</v>
      </c>
      <c r="X183" s="258">
        <f t="shared" si="89"/>
        <v>0.63474661520708975</v>
      </c>
    </row>
    <row r="184" spans="1:24" x14ac:dyDescent="0.2">
      <c r="A184" s="271" t="s">
        <v>643</v>
      </c>
      <c r="B184" s="265"/>
      <c r="C184" s="69"/>
      <c r="D184" s="268">
        <f>D$196</f>
        <v>6.0110000000000001</v>
      </c>
      <c r="E184" s="268">
        <f t="shared" ref="E184:X184" si="90">E$196</f>
        <v>6.7409999999999997</v>
      </c>
      <c r="F184" s="268">
        <f t="shared" si="90"/>
        <v>6.5529999999999999</v>
      </c>
      <c r="G184" s="268">
        <f t="shared" si="90"/>
        <v>6.7899999999999974</v>
      </c>
      <c r="H184" s="268">
        <f t="shared" si="90"/>
        <v>7.4599999999999973</v>
      </c>
      <c r="I184" s="268">
        <f t="shared" si="90"/>
        <v>8.2909999999999968</v>
      </c>
      <c r="J184" s="127">
        <f t="shared" si="90"/>
        <v>8.5279999999999969</v>
      </c>
      <c r="K184" s="127">
        <f t="shared" si="90"/>
        <v>8.9889999999999954</v>
      </c>
      <c r="L184" s="127">
        <f t="shared" si="90"/>
        <v>9.4499999999999957</v>
      </c>
      <c r="M184" s="127">
        <f t="shared" si="90"/>
        <v>9.9279999999999955</v>
      </c>
      <c r="N184" s="127">
        <f t="shared" si="90"/>
        <v>10.417999999999996</v>
      </c>
      <c r="O184" s="269">
        <f t="shared" si="90"/>
        <v>10.81134561991383</v>
      </c>
      <c r="P184" s="269">
        <f t="shared" si="90"/>
        <v>11.172342269028238</v>
      </c>
      <c r="Q184" s="269">
        <f t="shared" si="90"/>
        <v>11.510200574437523</v>
      </c>
      <c r="R184" s="269">
        <f t="shared" si="90"/>
        <v>11.83304691239827</v>
      </c>
      <c r="S184" s="269">
        <f t="shared" si="90"/>
        <v>12.150912876974623</v>
      </c>
      <c r="T184" s="269">
        <f t="shared" si="90"/>
        <v>12.463819530876011</v>
      </c>
      <c r="U184" s="269">
        <f t="shared" si="90"/>
        <v>12.774745811393004</v>
      </c>
      <c r="V184" s="269">
        <f t="shared" si="90"/>
        <v>13.081702249880319</v>
      </c>
      <c r="W184" s="269">
        <f t="shared" si="90"/>
        <v>13.407467687888936</v>
      </c>
      <c r="X184" s="269">
        <f t="shared" si="90"/>
        <v>13.75081043561512</v>
      </c>
    </row>
    <row r="185" spans="1:24" x14ac:dyDescent="0.2">
      <c r="A185" s="260" t="s">
        <v>644</v>
      </c>
      <c r="B185" s="262"/>
      <c r="C185" s="69"/>
      <c r="D185" s="267">
        <f>SUM(D$182:D$184)</f>
        <v>9.0869999999999997</v>
      </c>
      <c r="E185" s="267">
        <f t="shared" ref="E185:X185" si="91">SUM(E$182:E$184)</f>
        <v>10.276999999999999</v>
      </c>
      <c r="F185" s="267">
        <f t="shared" si="91"/>
        <v>10.429</v>
      </c>
      <c r="G185" s="267">
        <f t="shared" si="91"/>
        <v>11.087</v>
      </c>
      <c r="H185" s="267">
        <f t="shared" si="91"/>
        <v>12.447000000000001</v>
      </c>
      <c r="I185" s="267">
        <f t="shared" si="91"/>
        <v>13.58</v>
      </c>
      <c r="J185" s="128">
        <f t="shared" si="91"/>
        <v>13.70411</v>
      </c>
      <c r="K185" s="128">
        <f t="shared" si="91"/>
        <v>14.63411</v>
      </c>
      <c r="L185" s="128">
        <f t="shared" si="91"/>
        <v>15.34111</v>
      </c>
      <c r="M185" s="128">
        <f t="shared" si="91"/>
        <v>16.327110000000001</v>
      </c>
      <c r="N185" s="128">
        <f t="shared" si="91"/>
        <v>16.749109999999998</v>
      </c>
      <c r="O185" s="270">
        <f t="shared" ca="1" si="91"/>
        <v>17.281169162887643</v>
      </c>
      <c r="P185" s="270">
        <f t="shared" ca="1" si="91"/>
        <v>17.782110330205668</v>
      </c>
      <c r="Q185" s="270">
        <f t="shared" ca="1" si="91"/>
        <v>18.263554297392538</v>
      </c>
      <c r="R185" s="270">
        <f t="shared" ca="1" si="91"/>
        <v>18.758719378952119</v>
      </c>
      <c r="S185" s="270">
        <f t="shared" ca="1" si="91"/>
        <v>19.25302566997253</v>
      </c>
      <c r="T185" s="270">
        <f t="shared" ca="1" si="91"/>
        <v>19.7464286894614</v>
      </c>
      <c r="U185" s="270">
        <f t="shared" ca="1" si="91"/>
        <v>20.241514643820512</v>
      </c>
      <c r="V185" s="270">
        <f t="shared" ca="1" si="91"/>
        <v>20.736220561570107</v>
      </c>
      <c r="W185" s="270">
        <f t="shared" ca="1" si="91"/>
        <v>21.252899994500922</v>
      </c>
      <c r="X185" s="270">
        <f t="shared" ca="1" si="91"/>
        <v>21.790063875499325</v>
      </c>
    </row>
    <row r="186" spans="1:24" x14ac:dyDescent="0.2">
      <c r="A186" s="260" t="s">
        <v>647</v>
      </c>
      <c r="B186" s="264"/>
      <c r="C186" s="69"/>
      <c r="D186" s="267">
        <f>Data!C$62</f>
        <v>11.792999999999999</v>
      </c>
      <c r="E186" s="267">
        <f>Data!D$62</f>
        <v>12.948</v>
      </c>
      <c r="F186" s="267">
        <f>Data!E$62</f>
        <v>15.603999999999999</v>
      </c>
      <c r="G186" s="267">
        <f>Data!F$62</f>
        <v>18.446999999999999</v>
      </c>
      <c r="H186" s="267">
        <f>Data!G$62</f>
        <v>20.567</v>
      </c>
      <c r="I186" s="267">
        <f>Data!H$62</f>
        <v>21.765999999999998</v>
      </c>
      <c r="J186" s="128">
        <f>Data!I$62</f>
        <v>23.431999999999999</v>
      </c>
      <c r="K186" s="128">
        <f>Data!J$62</f>
        <v>25.312000000000001</v>
      </c>
      <c r="L186" s="128">
        <f>Data!K$62</f>
        <v>27.751000000000001</v>
      </c>
      <c r="M186" s="128">
        <f>Data!L$62</f>
        <v>30.309000000000001</v>
      </c>
      <c r="N186" s="128">
        <f>Data!M$62</f>
        <v>33.131</v>
      </c>
      <c r="O186" s="270">
        <f t="shared" ref="O186:X186" ca="1" si="92">SUM(O$185,(N$186-N$185)*(1+O$247))</f>
        <v>33.996956390081891</v>
      </c>
      <c r="P186" s="270">
        <f t="shared" ca="1" si="92"/>
        <v>34.832213301943803</v>
      </c>
      <c r="Q186" s="270">
        <f t="shared" ca="1" si="92"/>
        <v>35.654659328565437</v>
      </c>
      <c r="R186" s="270">
        <f t="shared" ca="1" si="92"/>
        <v>36.497646510748474</v>
      </c>
      <c r="S186" s="270">
        <f t="shared" ca="1" si="92"/>
        <v>37.346731344404816</v>
      </c>
      <c r="T186" s="270">
        <f t="shared" ca="1" si="92"/>
        <v>38.202008477382336</v>
      </c>
      <c r="U186" s="270">
        <f t="shared" ca="1" si="92"/>
        <v>39.066206027499867</v>
      </c>
      <c r="V186" s="270">
        <f t="shared" ca="1" si="92"/>
        <v>39.93740577292305</v>
      </c>
      <c r="W186" s="270">
        <f t="shared" ca="1" si="92"/>
        <v>40.838108910080919</v>
      </c>
      <c r="X186" s="270">
        <f t="shared" ca="1" si="92"/>
        <v>41.766976969390925</v>
      </c>
    </row>
    <row r="187" spans="1:24" x14ac:dyDescent="0.2">
      <c r="A187" s="27"/>
      <c r="B187" s="36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</row>
    <row r="188" spans="1:24" x14ac:dyDescent="0.2">
      <c r="A188" s="106" t="s">
        <v>393</v>
      </c>
      <c r="B188" s="36"/>
      <c r="C188" s="69"/>
      <c r="D188" s="73"/>
      <c r="E188" s="73"/>
      <c r="F188" s="73"/>
      <c r="G188" s="73"/>
      <c r="H188" s="73"/>
      <c r="I188" s="73"/>
      <c r="J188" s="73"/>
    </row>
    <row r="189" spans="1:24" x14ac:dyDescent="0.2">
      <c r="A189" s="30" t="s">
        <v>540</v>
      </c>
      <c r="B189" s="36"/>
      <c r="C189" s="69"/>
      <c r="D189" s="69">
        <f>Data!C$183</f>
        <v>5.569</v>
      </c>
      <c r="E189" s="69">
        <f>D$196</f>
        <v>6.0110000000000001</v>
      </c>
      <c r="F189" s="69">
        <f>E$196</f>
        <v>6.7409999999999997</v>
      </c>
      <c r="G189" s="69">
        <f>F$196</f>
        <v>6.5529999999999999</v>
      </c>
      <c r="H189" s="69">
        <f>G$196</f>
        <v>6.7899999999999974</v>
      </c>
      <c r="I189" s="69">
        <f>H$196</f>
        <v>7.4599999999999973</v>
      </c>
      <c r="J189" s="103">
        <f t="shared" ref="J189:X189" si="93">I$196</f>
        <v>8.2909999999999968</v>
      </c>
      <c r="K189" s="103">
        <f t="shared" si="93"/>
        <v>8.5279999999999969</v>
      </c>
      <c r="L189" s="103">
        <f t="shared" si="93"/>
        <v>8.9889999999999954</v>
      </c>
      <c r="M189" s="103">
        <f t="shared" si="93"/>
        <v>9.4499999999999957</v>
      </c>
      <c r="N189" s="103">
        <f t="shared" si="93"/>
        <v>9.9279999999999955</v>
      </c>
      <c r="O189" s="73">
        <f t="shared" si="93"/>
        <v>10.417999999999996</v>
      </c>
      <c r="P189" s="73">
        <f t="shared" si="93"/>
        <v>10.81134561991383</v>
      </c>
      <c r="Q189" s="73">
        <f t="shared" si="93"/>
        <v>11.172342269028238</v>
      </c>
      <c r="R189" s="73">
        <f t="shared" si="93"/>
        <v>11.510200574437523</v>
      </c>
      <c r="S189" s="73">
        <f t="shared" si="93"/>
        <v>11.83304691239827</v>
      </c>
      <c r="T189" s="73">
        <f t="shared" si="93"/>
        <v>12.150912876974623</v>
      </c>
      <c r="U189" s="73">
        <f t="shared" si="93"/>
        <v>12.463819530876011</v>
      </c>
      <c r="V189" s="73">
        <f t="shared" si="93"/>
        <v>12.774745811393004</v>
      </c>
      <c r="W189" s="73">
        <f t="shared" si="93"/>
        <v>13.081702249880319</v>
      </c>
      <c r="X189" s="73">
        <f t="shared" si="93"/>
        <v>13.407467687888936</v>
      </c>
    </row>
    <row r="190" spans="1:24" x14ac:dyDescent="0.2">
      <c r="A190" s="31" t="s">
        <v>630</v>
      </c>
      <c r="B190" s="228"/>
      <c r="C190" s="69"/>
      <c r="D190" s="69">
        <f>Data!C$184</f>
        <v>1.1759999999999999</v>
      </c>
      <c r="E190" s="69">
        <f>Data!D$184</f>
        <v>1.2010000000000001</v>
      </c>
      <c r="F190" s="69">
        <f>Data!E$184</f>
        <v>1.35</v>
      </c>
      <c r="G190" s="69">
        <f>Data!F$184</f>
        <v>1.5249999999999999</v>
      </c>
      <c r="H190" s="69">
        <f>Data!G$184</f>
        <v>1.5640000000000001</v>
      </c>
      <c r="I190" s="69">
        <f>Data!H$184</f>
        <v>1.5860000000000001</v>
      </c>
      <c r="J190" s="103">
        <f>Data!I$184</f>
        <v>1.5529999999999999</v>
      </c>
      <c r="K190" s="103">
        <f>Data!J$184</f>
        <v>1.6319999999999999</v>
      </c>
      <c r="L190" s="103">
        <f>Data!K$184</f>
        <v>1.681</v>
      </c>
      <c r="M190" s="103">
        <f>Data!L$184</f>
        <v>1.7330000000000001</v>
      </c>
      <c r="N190" s="103">
        <f>Data!M$184</f>
        <v>1.802</v>
      </c>
      <c r="O190" s="73">
        <f>SUM(N$190,Tracks!S$20-Tracks!R$20)</f>
        <v>1.8180000000000001</v>
      </c>
      <c r="P190" s="73">
        <f>SUM(O$190,Tracks!T$20-Tracks!S$20)</f>
        <v>1.8610000000000002</v>
      </c>
      <c r="Q190" s="73">
        <f>SUM(P$190,Tracks!U$20-Tracks!T$20)</f>
        <v>1.9180000000000001</v>
      </c>
      <c r="R190" s="73">
        <f>SUM(Q$190,Tracks!V$20-Tracks!U$20)</f>
        <v>1.9600000000000002</v>
      </c>
      <c r="S190" s="73">
        <f>SUM(R$190,Tracks!W$20-Tracks!V$20)</f>
        <v>2.016</v>
      </c>
      <c r="T190" s="73">
        <f>SUM(S$190,Tracks!X$20-Tracks!W$20)</f>
        <v>2.0810000000000004</v>
      </c>
      <c r="U190" s="73">
        <f>SUM(T$190,Tracks!Y$20-Tracks!X$20)</f>
        <v>2.1350000000000007</v>
      </c>
      <c r="V190" s="73">
        <f>SUM(U$190,Tracks!Z$20-Tracks!Y$20)</f>
        <v>2.1940000000000004</v>
      </c>
      <c r="W190" s="73">
        <f>SUM(V$190,Tracks!AA$20-Tracks!Z$20)</f>
        <v>2.2690000000000006</v>
      </c>
      <c r="X190" s="73">
        <f>SUM(W$190,Tracks!AB$20-Tracks!AA$20)</f>
        <v>2.3510000000000004</v>
      </c>
    </row>
    <row r="191" spans="1:24" x14ac:dyDescent="0.2">
      <c r="A191" s="31" t="s">
        <v>631</v>
      </c>
      <c r="B191" s="228"/>
      <c r="C191" s="69"/>
      <c r="D191" s="69">
        <f>Data!C$185</f>
        <v>0.48799999999999999</v>
      </c>
      <c r="E191" s="69">
        <f>Data!D$185</f>
        <v>0.48699999999999999</v>
      </c>
      <c r="F191" s="69">
        <f>Data!E$185</f>
        <v>0.53200000000000003</v>
      </c>
      <c r="G191" s="69">
        <f>Data!F$185</f>
        <v>0.72799999999999998</v>
      </c>
      <c r="H191" s="69">
        <f>Data!G$185</f>
        <v>0.71299999999999997</v>
      </c>
      <c r="I191" s="69">
        <f>Data!H$185</f>
        <v>0.70099999999999996</v>
      </c>
      <c r="J191" s="103">
        <f>Data!I$185</f>
        <v>0.52800000000000002</v>
      </c>
      <c r="K191" s="103">
        <f>Data!J$185</f>
        <v>0.53700000000000003</v>
      </c>
      <c r="L191" s="103">
        <f>Data!K$185</f>
        <v>0.55400000000000005</v>
      </c>
      <c r="M191" s="103">
        <f>Data!L$185</f>
        <v>0.56999999999999995</v>
      </c>
      <c r="N191" s="103">
        <f>Data!M$185</f>
        <v>0.59299999999999997</v>
      </c>
      <c r="O191" s="73">
        <f>SUM(N$191,Tracks!S$21-Tracks!R$21)</f>
        <v>0.621</v>
      </c>
      <c r="P191" s="73">
        <f>SUM(O$191,Tracks!T$21-Tracks!S$21)</f>
        <v>0.65200000000000002</v>
      </c>
      <c r="Q191" s="73">
        <f>SUM(P$191,Tracks!U$21-Tracks!T$21)</f>
        <v>0.69100000000000006</v>
      </c>
      <c r="R191" s="73">
        <f>SUM(Q$191,Tracks!V$21-Tracks!U$21)</f>
        <v>0.72299999999999998</v>
      </c>
      <c r="S191" s="73">
        <f>SUM(R$191,Tracks!W$21-Tracks!V$21)</f>
        <v>0.76200000000000001</v>
      </c>
      <c r="T191" s="73">
        <f>SUM(S$191,Tracks!X$21-Tracks!W$21)</f>
        <v>0.80600000000000005</v>
      </c>
      <c r="U191" s="73">
        <f>SUM(T$191,Tracks!Y$21-Tracks!X$21)</f>
        <v>0.83800000000000008</v>
      </c>
      <c r="V191" s="73">
        <f>SUM(U$191,Tracks!Z$21-Tracks!Y$21)</f>
        <v>0.872</v>
      </c>
      <c r="W191" s="73">
        <f>SUM(V$191,Tracks!AA$21-Tracks!Z$21)</f>
        <v>0.91199999999999992</v>
      </c>
      <c r="X191" s="73">
        <f>SUM(W$191,Tracks!AB$21-Tracks!AA$21)</f>
        <v>0.95700000000000007</v>
      </c>
    </row>
    <row r="192" spans="1:24" x14ac:dyDescent="0.2">
      <c r="A192" s="31" t="s">
        <v>632</v>
      </c>
      <c r="B192" s="228"/>
      <c r="C192" s="69"/>
      <c r="D192" s="69">
        <f>Data!C$186</f>
        <v>0.55500000000000005</v>
      </c>
      <c r="E192" s="69">
        <f>Data!D$186</f>
        <v>0.629</v>
      </c>
      <c r="F192" s="69">
        <f>Data!E$186</f>
        <v>0.71</v>
      </c>
      <c r="G192" s="69">
        <f>Data!F$186</f>
        <v>0.754</v>
      </c>
      <c r="H192" s="69">
        <f>Data!G$186</f>
        <v>0.80200000000000005</v>
      </c>
      <c r="I192" s="69">
        <f>Data!H$186</f>
        <v>0.877</v>
      </c>
      <c r="J192" s="103">
        <f>Data!I$186</f>
        <v>1.149</v>
      </c>
      <c r="K192" s="103">
        <f>Data!J$186</f>
        <v>1.135</v>
      </c>
      <c r="L192" s="103">
        <f>Data!K$186</f>
        <v>1.1990000000000001</v>
      </c>
      <c r="M192" s="103">
        <f>Data!L$186</f>
        <v>1.2490000000000001</v>
      </c>
      <c r="N192" s="103">
        <f>Data!M$186</f>
        <v>1.3140000000000001</v>
      </c>
      <c r="O192" s="73">
        <f>SUM(N$192,Tracks!S$22-Tracks!R$22)</f>
        <v>1.4019999999999999</v>
      </c>
      <c r="P192" s="73">
        <f>SUM(O$192,Tracks!T$22-Tracks!S$22)</f>
        <v>1.4590000000000001</v>
      </c>
      <c r="Q192" s="73">
        <f>SUM(P$192,Tracks!U$22-Tracks!T$22)</f>
        <v>1.514</v>
      </c>
      <c r="R192" s="73">
        <f>SUM(Q$192,Tracks!V$22-Tracks!U$22)</f>
        <v>1.554</v>
      </c>
      <c r="S192" s="73">
        <f>SUM(R$192,Tracks!W$22-Tracks!V$22)</f>
        <v>1.593</v>
      </c>
      <c r="T192" s="73">
        <f>SUM(S$192,Tracks!X$22-Tracks!W$22)</f>
        <v>1.637</v>
      </c>
      <c r="U192" s="73">
        <f>SUM(T$192,Tracks!Y$22-Tracks!X$22)</f>
        <v>1.681</v>
      </c>
      <c r="V192" s="73">
        <f>SUM(U$192,Tracks!Z$22-Tracks!Y$22)</f>
        <v>1.7310000000000001</v>
      </c>
      <c r="W192" s="73">
        <f>SUM(V$192,Tracks!AA$22-Tracks!Z$22)</f>
        <v>1.77</v>
      </c>
      <c r="X192" s="73">
        <f>SUM(W$192,Tracks!AB$22-Tracks!AA$22)</f>
        <v>1.8140000000000001</v>
      </c>
    </row>
    <row r="193" spans="1:24" x14ac:dyDescent="0.2">
      <c r="A193" s="31" t="s">
        <v>633</v>
      </c>
      <c r="B193" s="228"/>
      <c r="C193" s="69"/>
      <c r="D193" s="69">
        <f>Data!C$187</f>
        <v>0.36</v>
      </c>
      <c r="E193" s="69">
        <f>Data!D$187</f>
        <v>0.40699999999999997</v>
      </c>
      <c r="F193" s="69">
        <f>Data!E$187</f>
        <v>0.46500000000000002</v>
      </c>
      <c r="G193" s="69">
        <f>Data!F$187</f>
        <v>0.46300000000000002</v>
      </c>
      <c r="H193" s="69">
        <f>Data!G$187</f>
        <v>0.48399999999999999</v>
      </c>
      <c r="I193" s="69">
        <f>Data!H$187</f>
        <v>0.52600000000000002</v>
      </c>
      <c r="J193" s="103">
        <f>Data!I$187</f>
        <v>0.58099999999999996</v>
      </c>
      <c r="K193" s="103">
        <f>Data!J$187</f>
        <v>0.6</v>
      </c>
      <c r="L193" s="103">
        <f>Data!K$187</f>
        <v>0.63100000000000001</v>
      </c>
      <c r="M193" s="103">
        <f>Data!L$187</f>
        <v>0.66300000000000003</v>
      </c>
      <c r="N193" s="103">
        <f>Data!M$187</f>
        <v>0.69499999999999995</v>
      </c>
      <c r="O193" s="73">
        <f>SUM(N$193,Tracks!S$23-Tracks!R$23)</f>
        <v>0.71199999999999997</v>
      </c>
      <c r="P193" s="73">
        <f>SUM(O$193,Tracks!T$23-Tracks!S$23)</f>
        <v>0.72799999999999998</v>
      </c>
      <c r="Q193" s="73">
        <f>SUM(P$193,Tracks!U$23-Tracks!T$23)</f>
        <v>0.745</v>
      </c>
      <c r="R193" s="73">
        <f>SUM(Q$193,Tracks!V$23-Tracks!U$23)</f>
        <v>0.7629999999999999</v>
      </c>
      <c r="S193" s="73">
        <f>SUM(R$193,Tracks!W$23-Tracks!V$23)</f>
        <v>0.78299999999999992</v>
      </c>
      <c r="T193" s="73">
        <f>SUM(S$193,Tracks!X$23-Tracks!W$23)</f>
        <v>0.80399999999999994</v>
      </c>
      <c r="U193" s="73">
        <f>SUM(T$193,Tracks!Y$23-Tracks!X$23)</f>
        <v>0.82699999999999996</v>
      </c>
      <c r="V193" s="73">
        <f>SUM(U$193,Tracks!Z$23-Tracks!Y$23)</f>
        <v>0.85099999999999998</v>
      </c>
      <c r="W193" s="73">
        <f>SUM(V$193,Tracks!AA$23-Tracks!Z$23)</f>
        <v>0.87699999999999989</v>
      </c>
      <c r="X193" s="73">
        <f>SUM(W$193,Tracks!AB$23-Tracks!AA$23)</f>
        <v>0.90499999999999992</v>
      </c>
    </row>
    <row r="194" spans="1:24" x14ac:dyDescent="0.2">
      <c r="A194" s="31" t="s">
        <v>634</v>
      </c>
      <c r="B194" s="228"/>
      <c r="C194" s="69"/>
      <c r="D194" s="69">
        <f>Data!C$188</f>
        <v>0.151</v>
      </c>
      <c r="E194" s="69">
        <f>Data!D$188</f>
        <v>-0.23100000000000001</v>
      </c>
      <c r="F194" s="69">
        <f>Data!E$188</f>
        <v>0.77900000000000003</v>
      </c>
      <c r="G194" s="69">
        <f>Data!F$188</f>
        <v>0.28000000000000003</v>
      </c>
      <c r="H194" s="69">
        <f>Data!G$188</f>
        <v>-0.125</v>
      </c>
      <c r="I194" s="69">
        <f>Data!H$188</f>
        <v>-0.28599999999999998</v>
      </c>
      <c r="J194" s="103">
        <f>Data!I$188</f>
        <v>0.23200000000000001</v>
      </c>
      <c r="K194" s="103">
        <f>Data!J$188</f>
        <v>0.11</v>
      </c>
      <c r="L194" s="103">
        <f>Data!K$188</f>
        <v>0.11</v>
      </c>
      <c r="M194" s="103">
        <f>Data!L$188</f>
        <v>0.11</v>
      </c>
      <c r="N194" s="103">
        <f>Data!M$188</f>
        <v>0.11</v>
      </c>
      <c r="O194" s="73">
        <f>N$194*(1+IF(SUM(O$189,O$190,O$193)-SUM(O$191,O$192,N$194)&gt;Tracks!S$26/1000,1,-1)*(Tracks!S$26/Tracks!R$26-1))</f>
        <v>0.11365438008616563</v>
      </c>
      <c r="P194" s="73">
        <f>O$194*(1+IF(SUM(P$189,P$190,P$193)-SUM(P$191,P$192,O$194)&gt;Tracks!T$26/1000,1,-1)*(Tracks!T$26/Tracks!S$26-1))</f>
        <v>0.11700335088559119</v>
      </c>
      <c r="Q194" s="73">
        <f>P$194*(1+IF(SUM(Q$189,Q$190,Q$193)-SUM(Q$191,Q$192,P$194)&gt;Tracks!U$26/1000,1,-1)*(Tracks!U$26/Tracks!T$26-1))</f>
        <v>0.12014169459071326</v>
      </c>
      <c r="R194" s="73">
        <f>Q$194*(1+IF(SUM(R$189,R$190,R$193)-SUM(R$191,R$192,Q$194)&gt;Tracks!V$26/1000,1,-1)*(Tracks!V$26/Tracks!U$26-1))</f>
        <v>0.12315366203925325</v>
      </c>
      <c r="S194" s="73">
        <f>R$194*(1+IF(SUM(S$189,S$190,S$193)-SUM(S$191,S$192,R$194)&gt;Tracks!W$26/1000,1,-1)*(Tracks!W$26/Tracks!V$26-1))</f>
        <v>0.12613403542364768</v>
      </c>
      <c r="T194" s="73">
        <f>S$194*(1+IF(SUM(T$189,T$190,T$193)-SUM(T$191,T$192,S$194)&gt;Tracks!X$26/1000,1,-1)*(Tracks!X$26/Tracks!W$26-1))</f>
        <v>0.12909334609861178</v>
      </c>
      <c r="U194" s="73">
        <f>T$194*(1+IF(SUM(U$189,U$190,U$193)-SUM(U$191,U$192,T$194)&gt;Tracks!Y$26/1000,1,-1)*(Tracks!Y$26/Tracks!X$26-1))</f>
        <v>0.13207371948300625</v>
      </c>
      <c r="V194" s="73">
        <f>U$194*(1+IF(SUM(V$189,V$190,V$193)-SUM(V$191,V$192,U$194)&gt;Tracks!Z$26/1000,1,-1)*(Tracks!Z$26/Tracks!Y$26-1))</f>
        <v>0.13504356151268554</v>
      </c>
      <c r="W194" s="73">
        <f>V$194*(1+IF(SUM(W$189,W$190,W$193)-SUM(W$191,W$192,V$194)&gt;Tracks!AA$26/1000,1,-1)*(Tracks!AA$26/Tracks!Z$26-1))</f>
        <v>0.13823456199138345</v>
      </c>
      <c r="X194" s="73">
        <f>W$194*(1+IF(SUM(X$189,X$190,X$193)-SUM(X$191,X$192,W$194)&gt;Tracks!AB$26/1000,1,-1)*(Tracks!AB$26/Tracks!AA$26-1))</f>
        <v>0.14165725227381526</v>
      </c>
    </row>
    <row r="195" spans="1:24" x14ac:dyDescent="0.2">
      <c r="A195" s="31" t="s">
        <v>635</v>
      </c>
      <c r="B195" s="228"/>
      <c r="C195" s="69"/>
      <c r="D195" s="173">
        <f>Data!C$189</f>
        <v>0.1</v>
      </c>
      <c r="E195" s="173">
        <f>Data!D$189</f>
        <v>7.0000000000000001E-3</v>
      </c>
      <c r="F195" s="173">
        <f>Data!E$189</f>
        <v>1.7999999999999999E-2</v>
      </c>
      <c r="G195" s="173">
        <f>Data!F$189</f>
        <v>1.0999999999999999E-2</v>
      </c>
      <c r="H195" s="173">
        <f>Data!G$189</f>
        <v>1.2E-2</v>
      </c>
      <c r="I195" s="173">
        <f>Data!H$189</f>
        <v>1.0999999999999999E-2</v>
      </c>
      <c r="J195" s="127">
        <f>Data!I$189</f>
        <v>1.2E-2</v>
      </c>
      <c r="K195" s="127">
        <f>Data!J$189</f>
        <v>1.0999999999999999E-2</v>
      </c>
      <c r="L195" s="127">
        <f>Data!K$189</f>
        <v>1.2E-2</v>
      </c>
      <c r="M195" s="127">
        <f>Data!L$189</f>
        <v>1.0999999999999999E-2</v>
      </c>
      <c r="N195" s="127">
        <f>Data!M$189</f>
        <v>0.01</v>
      </c>
      <c r="O195" s="81">
        <f t="shared" ref="O195:X195" si="94">IF(O$2="Proj Yr1", 0,N$195)</f>
        <v>0</v>
      </c>
      <c r="P195" s="81">
        <f t="shared" si="94"/>
        <v>0</v>
      </c>
      <c r="Q195" s="81">
        <f t="shared" si="94"/>
        <v>0</v>
      </c>
      <c r="R195" s="81">
        <f t="shared" si="94"/>
        <v>0</v>
      </c>
      <c r="S195" s="81">
        <f t="shared" si="94"/>
        <v>0</v>
      </c>
      <c r="T195" s="81">
        <f t="shared" si="94"/>
        <v>0</v>
      </c>
      <c r="U195" s="81">
        <f t="shared" si="94"/>
        <v>0</v>
      </c>
      <c r="V195" s="81">
        <f t="shared" si="94"/>
        <v>0</v>
      </c>
      <c r="W195" s="81">
        <f t="shared" si="94"/>
        <v>0</v>
      </c>
      <c r="X195" s="81">
        <f t="shared" si="94"/>
        <v>0</v>
      </c>
    </row>
    <row r="196" spans="1:24" x14ac:dyDescent="0.2">
      <c r="A196" s="27" t="s">
        <v>617</v>
      </c>
      <c r="B196" s="36"/>
      <c r="C196" s="69"/>
      <c r="D196" s="71">
        <f t="shared" ref="D196:X196" si="95">SUM(D$189,D$190,D$193,D$195)-SUM(D$191,D$192,D$194)</f>
        <v>6.0110000000000001</v>
      </c>
      <c r="E196" s="71">
        <f t="shared" si="95"/>
        <v>6.7409999999999997</v>
      </c>
      <c r="F196" s="71">
        <f t="shared" si="95"/>
        <v>6.5529999999999999</v>
      </c>
      <c r="G196" s="71">
        <f t="shared" si="95"/>
        <v>6.7899999999999974</v>
      </c>
      <c r="H196" s="71">
        <f t="shared" si="95"/>
        <v>7.4599999999999973</v>
      </c>
      <c r="I196" s="71">
        <f t="shared" si="95"/>
        <v>8.2909999999999968</v>
      </c>
      <c r="J196" s="128">
        <f t="shared" si="95"/>
        <v>8.5279999999999969</v>
      </c>
      <c r="K196" s="128">
        <f t="shared" si="95"/>
        <v>8.9889999999999954</v>
      </c>
      <c r="L196" s="128">
        <f t="shared" si="95"/>
        <v>9.4499999999999957</v>
      </c>
      <c r="M196" s="128">
        <f t="shared" si="95"/>
        <v>9.9279999999999955</v>
      </c>
      <c r="N196" s="128">
        <f t="shared" si="95"/>
        <v>10.417999999999996</v>
      </c>
      <c r="O196" s="75">
        <f t="shared" si="95"/>
        <v>10.81134561991383</v>
      </c>
      <c r="P196" s="75">
        <f t="shared" si="95"/>
        <v>11.172342269028238</v>
      </c>
      <c r="Q196" s="75">
        <f t="shared" si="95"/>
        <v>11.510200574437523</v>
      </c>
      <c r="R196" s="75">
        <f t="shared" si="95"/>
        <v>11.83304691239827</v>
      </c>
      <c r="S196" s="75">
        <f t="shared" si="95"/>
        <v>12.150912876974623</v>
      </c>
      <c r="T196" s="75">
        <f t="shared" si="95"/>
        <v>12.463819530876011</v>
      </c>
      <c r="U196" s="75">
        <f t="shared" si="95"/>
        <v>12.774745811393004</v>
      </c>
      <c r="V196" s="75">
        <f t="shared" si="95"/>
        <v>13.081702249880319</v>
      </c>
      <c r="W196" s="75">
        <f t="shared" si="95"/>
        <v>13.407467687888936</v>
      </c>
      <c r="X196" s="75">
        <f t="shared" si="95"/>
        <v>13.75081043561512</v>
      </c>
    </row>
    <row r="197" spans="1:24" x14ac:dyDescent="0.2">
      <c r="A197" s="26"/>
      <c r="B197" s="42"/>
      <c r="C197" s="69"/>
      <c r="D197" s="11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 s="106" t="s">
        <v>650</v>
      </c>
      <c r="B198" s="41"/>
      <c r="C198" s="69"/>
      <c r="D198" s="6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">
      <c r="A199" s="27" t="s">
        <v>980</v>
      </c>
      <c r="B199" s="226"/>
      <c r="C199" s="69"/>
      <c r="D199" s="71">
        <f>Data!C$113</f>
        <v>26.213000000000001</v>
      </c>
      <c r="E199" s="71">
        <f>Data!D$113</f>
        <v>28.637</v>
      </c>
      <c r="F199" s="71">
        <f>Data!E$113</f>
        <v>30.486999999999998</v>
      </c>
      <c r="G199" s="71">
        <f>Data!F$113</f>
        <v>29.986000000000001</v>
      </c>
      <c r="H199" s="71">
        <f>Data!G$113</f>
        <v>29.548999999999999</v>
      </c>
      <c r="I199" s="71">
        <f>Data!H$113</f>
        <v>29.376999999999999</v>
      </c>
      <c r="J199" s="128">
        <f ca="1">Data!I$113 +IF(OFFSET(Scenarios!$A$84,0,$C$1)="Yes",J$204,0)</f>
        <v>29.561</v>
      </c>
      <c r="K199" s="128">
        <f ca="1">Data!J$113 +IF(OFFSET(Scenarios!$A$84,0,$C$1)="Yes",K$204,0)</f>
        <v>30.565000000000001</v>
      </c>
      <c r="L199" s="128">
        <f ca="1">Data!K$113 +IF(OFFSET(Scenarios!$A$84,0,$C$1)="Yes",L$204,0)</f>
        <v>31.369</v>
      </c>
      <c r="M199" s="128">
        <f ca="1">Data!L$113 +IF(OFFSET(Scenarios!$A$84,0,$C$1)="Yes",M$204,0)</f>
        <v>31.036000000000001</v>
      </c>
      <c r="N199" s="128">
        <f ca="1">Data!M$113 +IF(OFFSET(Scenarios!$A$84,0,$C$1)="Yes",N$204,0)</f>
        <v>30.966000000000001</v>
      </c>
      <c r="O199" s="42">
        <f ca="1">N$199 +(O$52-N$52)-(O$116-N$116) +IF(OFFSET(Scenarios!$A$84,0,$C$1)="Yes",(O$204-N$204),0)</f>
        <v>31.068503404951375</v>
      </c>
      <c r="P199" s="42">
        <f ca="1">O$199 +(P$52-O$52)-(P$116-O$116) +IF(OFFSET(Scenarios!$A$84,0,$C$1)="Yes",(P$204-O$204),0)</f>
        <v>31.129893168592389</v>
      </c>
      <c r="Q199" s="42">
        <f ca="1">P$199 +(Q$52-P$52)-(Q$116-P$116) +IF(OFFSET(Scenarios!$A$84,0,$C$1)="Yes",(Q$204-P$204),0)</f>
        <v>31.195688593592735</v>
      </c>
      <c r="R199" s="42">
        <f ca="1">Q$199 +(R$52-Q$52)-(R$116-Q$116) +IF(OFFSET(Scenarios!$A$84,0,$C$1)="Yes",(R$204-Q$204),0)</f>
        <v>31.264703059032271</v>
      </c>
      <c r="S199" s="42">
        <f ca="1">R$199 +(S$52-R$52)-(S$116-R$116) +IF(OFFSET(Scenarios!$A$84,0,$C$1)="Yes",(S$204-R$204),0)</f>
        <v>31.33647259371989</v>
      </c>
      <c r="T199" s="42">
        <f ca="1">S$199 +(T$52-S$52)-(T$116-S$116) +IF(OFFSET(Scenarios!$A$84,0,$C$1)="Yes",(T$204-S$204),0)</f>
        <v>31.410177543371965</v>
      </c>
      <c r="U199" s="42">
        <f ca="1">T$199 +(U$52-T$52)-(U$116-T$116) +IF(OFFSET(Scenarios!$A$84,0,$C$1)="Yes",(U$204-T$204),0)</f>
        <v>31.485989270841117</v>
      </c>
      <c r="V199" s="42">
        <f ca="1">U$199 +(V$52-U$52)-(V$116-U$116) +IF(OFFSET(Scenarios!$A$84,0,$C$1)="Yes",(V$204-U$204),0)</f>
        <v>31.564724873423486</v>
      </c>
      <c r="W199" s="42">
        <f ca="1">V$199 +(W$52-V$52)-(W$116-V$116) +IF(OFFSET(Scenarios!$A$84,0,$C$1)="Yes",(W$204-V$204),0)</f>
        <v>31.645915176491208</v>
      </c>
      <c r="X199" s="42">
        <f ca="1">W$199 +(X$52-W$52)-(X$116-W$116) +IF(OFFSET(Scenarios!$A$84,0,$C$1)="Yes",(X$204-W$204),0)</f>
        <v>31.729395313223986</v>
      </c>
    </row>
    <row r="200" spans="1:24" x14ac:dyDescent="0.2">
      <c r="A200" s="158" t="s">
        <v>394</v>
      </c>
      <c r="B200" s="69"/>
      <c r="C200" s="69"/>
      <c r="D200" s="173">
        <f>D$201-D$199</f>
        <v>69.384999999999991</v>
      </c>
      <c r="E200" s="173">
        <f t="shared" ref="E200:N200" si="96">E$201-E$199</f>
        <v>74.691999999999993</v>
      </c>
      <c r="F200" s="173">
        <f t="shared" si="96"/>
        <v>79.64800000000001</v>
      </c>
      <c r="G200" s="173">
        <f t="shared" si="96"/>
        <v>83.343999999999994</v>
      </c>
      <c r="H200" s="173">
        <f t="shared" si="96"/>
        <v>85.305000000000007</v>
      </c>
      <c r="I200" s="173">
        <f t="shared" si="96"/>
        <v>79.207000000000008</v>
      </c>
      <c r="J200" s="127">
        <f t="shared" ca="1" si="96"/>
        <v>79.772999999999996</v>
      </c>
      <c r="K200" s="127">
        <f t="shared" ca="1" si="96"/>
        <v>82.061999999999998</v>
      </c>
      <c r="L200" s="127">
        <f t="shared" ca="1" si="96"/>
        <v>83.263999999999996</v>
      </c>
      <c r="M200" s="127">
        <f t="shared" ca="1" si="96"/>
        <v>84.792999999999992</v>
      </c>
      <c r="N200" s="127">
        <f t="shared" ca="1" si="96"/>
        <v>86.450999999999993</v>
      </c>
      <c r="O200" s="81">
        <f ca="1">SUM(N$200,(O$29-O$35)-(N$29-N$35),(O$30-O$36)-(N$30-N$36),(O$15-O$24),-SUM(O$152-O$151,O$154-O$153,(O$164+O$166)-(O$161+O$165),O$186-O$185,O$211-O$210)+SUM(N$152-N$151,N$154-N$153,(N$164+N$166)-(N$161+N$165),N$186-N$185,N$211-N$210))</f>
        <v>89.914702192412946</v>
      </c>
      <c r="P200" s="81">
        <f t="shared" ref="P200:X200" ca="1" si="97">SUM(O$200,(P$29-P$35)-(O$29-O$35),(P$30-P$36)-(O$30-O$36),(P$15-P$24),-SUM(P$152-P$151,P$154-P$153,(P$164+P$166)-(P$161+P$165),P$186-P$185,P$211-P$210)+SUM(O$152-O$151,O$154-O$153,(O$164+O$166)-(O$161+O$165),O$186-O$185,O$211-O$210))</f>
        <v>93.784429148686868</v>
      </c>
      <c r="Q200" s="81">
        <f t="shared" ca="1" si="97"/>
        <v>98.111319014479122</v>
      </c>
      <c r="R200" s="81">
        <f t="shared" ca="1" si="97"/>
        <v>102.63611275723281</v>
      </c>
      <c r="S200" s="81">
        <f t="shared" ca="1" si="97"/>
        <v>107.50953287744386</v>
      </c>
      <c r="T200" s="81">
        <f t="shared" ca="1" si="97"/>
        <v>112.71631271439153</v>
      </c>
      <c r="U200" s="81">
        <f t="shared" ca="1" si="97"/>
        <v>118.25948874721698</v>
      </c>
      <c r="V200" s="81">
        <f t="shared" ca="1" si="97"/>
        <v>124.16939666660113</v>
      </c>
      <c r="W200" s="81">
        <f t="shared" ca="1" si="97"/>
        <v>130.42243332653362</v>
      </c>
      <c r="X200" s="81">
        <f t="shared" ca="1" si="97"/>
        <v>137.04550512802268</v>
      </c>
    </row>
    <row r="201" spans="1:24" x14ac:dyDescent="0.2">
      <c r="A201" s="27" t="s">
        <v>981</v>
      </c>
      <c r="B201" s="226"/>
      <c r="C201" s="69"/>
      <c r="D201" s="71">
        <f>Data!C$65</f>
        <v>95.597999999999999</v>
      </c>
      <c r="E201" s="71">
        <f>Data!D$65</f>
        <v>103.32899999999999</v>
      </c>
      <c r="F201" s="71">
        <f>Data!E$65</f>
        <v>110.13500000000001</v>
      </c>
      <c r="G201" s="71">
        <f>Data!F$65</f>
        <v>113.33</v>
      </c>
      <c r="H201" s="71">
        <f>Data!G$65</f>
        <v>114.854</v>
      </c>
      <c r="I201" s="71">
        <f>Data!H$65</f>
        <v>108.584</v>
      </c>
      <c r="J201" s="128">
        <f ca="1">Data!I$65 +IF(OFFSET(Scenarios!$A$84,0,$C$1)="Yes",J$204,0)</f>
        <v>109.334</v>
      </c>
      <c r="K201" s="128">
        <f ca="1">Data!J$65 +IF(OFFSET(Scenarios!$A$84,0,$C$1)="Yes",K$204,0)</f>
        <v>112.627</v>
      </c>
      <c r="L201" s="128">
        <f ca="1">Data!K$65 +IF(OFFSET(Scenarios!$A$84,0,$C$1)="Yes",L$204,0)</f>
        <v>114.633</v>
      </c>
      <c r="M201" s="128">
        <f ca="1">Data!L$65 +IF(OFFSET(Scenarios!$A$84,0,$C$1)="Yes",M$204,0)</f>
        <v>115.82899999999999</v>
      </c>
      <c r="N201" s="128">
        <f ca="1">Data!M$65 +IF(OFFSET(Scenarios!$A$84,0,$C$1)="Yes",N$204,0)</f>
        <v>117.417</v>
      </c>
      <c r="O201" s="75">
        <f t="shared" ref="O201:X201" ca="1" si="98">SUM(O$199,O$200)</f>
        <v>120.98320559736432</v>
      </c>
      <c r="P201" s="75">
        <f t="shared" ca="1" si="98"/>
        <v>124.91432231727926</v>
      </c>
      <c r="Q201" s="75">
        <f t="shared" ca="1" si="98"/>
        <v>129.30700760807184</v>
      </c>
      <c r="R201" s="75">
        <f t="shared" ca="1" si="98"/>
        <v>133.90081581626509</v>
      </c>
      <c r="S201" s="75">
        <f t="shared" ca="1" si="98"/>
        <v>138.84600547116375</v>
      </c>
      <c r="T201" s="75">
        <f t="shared" ca="1" si="98"/>
        <v>144.12649025776349</v>
      </c>
      <c r="U201" s="75">
        <f t="shared" ca="1" si="98"/>
        <v>149.74547801805809</v>
      </c>
      <c r="V201" s="75">
        <f t="shared" ca="1" si="98"/>
        <v>155.7341215400246</v>
      </c>
      <c r="W201" s="75">
        <f t="shared" ca="1" si="98"/>
        <v>162.06834850302482</v>
      </c>
      <c r="X201" s="75">
        <f t="shared" ca="1" si="98"/>
        <v>168.77490044124667</v>
      </c>
    </row>
    <row r="202" spans="1:24" x14ac:dyDescent="0.2">
      <c r="A202" s="27"/>
      <c r="B202" s="41"/>
      <c r="C202" s="69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x14ac:dyDescent="0.2">
      <c r="A203" s="106" t="s">
        <v>978</v>
      </c>
      <c r="B203" s="77"/>
      <c r="C203" s="69"/>
      <c r="D203" s="71">
        <f t="shared" ref="D203:I203" si="99">D$204-C$204</f>
        <v>0</v>
      </c>
      <c r="E203" s="71">
        <f t="shared" si="99"/>
        <v>0</v>
      </c>
      <c r="F203" s="71">
        <f t="shared" si="99"/>
        <v>0</v>
      </c>
      <c r="G203" s="71">
        <f t="shared" si="99"/>
        <v>0</v>
      </c>
      <c r="H203" s="71">
        <f t="shared" si="99"/>
        <v>0</v>
      </c>
      <c r="I203" s="71">
        <f t="shared" si="99"/>
        <v>0</v>
      </c>
      <c r="J203" s="128">
        <f ca="1">IF(OFFSET(Scenarios!$A$84,0,$C$1)="Yes",0,J$204-I$204)</f>
        <v>-0.27800000000000002</v>
      </c>
      <c r="K203" s="128">
        <f ca="1">IF(OFFSET(Scenarios!$A$84,0,$C$1)="Yes",0,K$204-J$204)</f>
        <v>0.45300000000000001</v>
      </c>
      <c r="L203" s="128">
        <f ca="1">IF(OFFSET(Scenarios!$A$84,0,$C$1)="Yes",0,L$204-K$204)</f>
        <v>0.70699999999999985</v>
      </c>
      <c r="M203" s="128">
        <f ca="1">IF(OFFSET(Scenarios!$A$84,0,$C$1)="Yes",0,M$204-L$204)</f>
        <v>0.85699999999999998</v>
      </c>
      <c r="N203" s="128">
        <f ca="1">IF(OFFSET(Scenarios!$A$84,0,$C$1)="Yes",0,N$204-M$204)</f>
        <v>1</v>
      </c>
      <c r="O203" s="270">
        <f ca="1">IF(OFFSET(Scenarios!$A$84,0,$C$1)="Yes",0,IF(OFFSET(Scenarios!$A$29,0,$C$1)&gt;=O$4,Tracks!S$113,IF(OFFSET(Scenarios!$A$29,0,$C$1)+1=O$4,OFFSET(Scenarios!$A$28,0,$C$1)/5*(1-(1+OFFSET(Scenarios!$A$33,0,$C$1))^5)/-OFFSET(Scenarios!$A$33,0,$C$1),N$203*(1+OFFSET(Scenarios!$A$33,0,$C$1)))))</f>
        <v>1.1780000000000002</v>
      </c>
      <c r="P203" s="270">
        <f ca="1">IF(OFFSET(Scenarios!$A$84,0,$C$1)="Yes",0,IF(OFFSET(Scenarios!$A$29,0,$C$1)&gt;=P$4,Tracks!T$113,IF(OFFSET(Scenarios!$A$29,0,$C$1)+1=P$4,OFFSET(Scenarios!$A$28,0,$C$1)/5*(1-(1+OFFSET(Scenarios!$A$33,0,$C$1))^5)/-OFFSET(Scenarios!$A$33,0,$C$1),O$203*(1+OFFSET(Scenarios!$A$33,0,$C$1)))))</f>
        <v>1.0730000000000002</v>
      </c>
      <c r="Q203" s="270">
        <f ca="1">IF(OFFSET(Scenarios!$A$84,0,$C$1)="Yes",0,IF(OFFSET(Scenarios!$A$29,0,$C$1)&gt;=Q$4,Tracks!U$113,IF(OFFSET(Scenarios!$A$29,0,$C$1)+1=Q$4,OFFSET(Scenarios!$A$28,0,$C$1)/5*(1-(1+OFFSET(Scenarios!$A$33,0,$C$1))^5)/-OFFSET(Scenarios!$A$33,0,$C$1),P$203*(1+OFFSET(Scenarios!$A$33,0,$C$1)))))</f>
        <v>1.022</v>
      </c>
      <c r="R203" s="270">
        <f ca="1">IF(OFFSET(Scenarios!$A$84,0,$C$1)="Yes",0,IF(OFFSET(Scenarios!$A$29,0,$C$1)&gt;=R$4,Tracks!V$113,IF(OFFSET(Scenarios!$A$29,0,$C$1)+1=R$4,OFFSET(Scenarios!$A$28,0,$C$1)/5*(1-(1+OFFSET(Scenarios!$A$33,0,$C$1))^5)/-OFFSET(Scenarios!$A$33,0,$C$1),Q$203*(1+OFFSET(Scenarios!$A$33,0,$C$1)))))</f>
        <v>0.79</v>
      </c>
      <c r="S203" s="270">
        <f ca="1">IF(OFFSET(Scenarios!$A$84,0,$C$1)="Yes",0,IF(OFFSET(Scenarios!$A$29,0,$C$1)&gt;=S$4,Tracks!W$113,IF(OFFSET(Scenarios!$A$29,0,$C$1)+1=S$4,OFFSET(Scenarios!$A$28,0,$C$1)/5*(1-(1+OFFSET(Scenarios!$A$33,0,$C$1))^5)/-OFFSET(Scenarios!$A$33,0,$C$1),R$203*(1+OFFSET(Scenarios!$A$33,0,$C$1)))))</f>
        <v>0.97419631795200023</v>
      </c>
      <c r="T203" s="270">
        <f ca="1">IF(OFFSET(Scenarios!$A$84,0,$C$1)="Yes",0,IF(OFFSET(Scenarios!$A$29,0,$C$1)&gt;=T$4,Tracks!X$113,IF(OFFSET(Scenarios!$A$29,0,$C$1)+1=T$4,OFFSET(Scenarios!$A$28,0,$C$1)/5*(1-(1+OFFSET(Scenarios!$A$33,0,$C$1))^5)/-OFFSET(Scenarios!$A$33,0,$C$1),S$203*(1+OFFSET(Scenarios!$A$33,0,$C$1)))))</f>
        <v>0.99368024431104029</v>
      </c>
      <c r="U203" s="270">
        <f ca="1">IF(OFFSET(Scenarios!$A$84,0,$C$1)="Yes",0,IF(OFFSET(Scenarios!$A$29,0,$C$1)&gt;=U$4,Tracks!Y$113,IF(OFFSET(Scenarios!$A$29,0,$C$1)+1=U$4,OFFSET(Scenarios!$A$28,0,$C$1)/5*(1-(1+OFFSET(Scenarios!$A$33,0,$C$1))^5)/-OFFSET(Scenarios!$A$33,0,$C$1),T$203*(1+OFFSET(Scenarios!$A$33,0,$C$1)))))</f>
        <v>1.0135538491972611</v>
      </c>
      <c r="V203" s="270">
        <f ca="1">IF(OFFSET(Scenarios!$A$84,0,$C$1)="Yes",0,IF(OFFSET(Scenarios!$A$29,0,$C$1)&gt;=V$4,Tracks!Z$113,IF(OFFSET(Scenarios!$A$29,0,$C$1)+1=V$4,OFFSET(Scenarios!$A$28,0,$C$1)/5*(1-(1+OFFSET(Scenarios!$A$33,0,$C$1))^5)/-OFFSET(Scenarios!$A$33,0,$C$1),U$203*(1+OFFSET(Scenarios!$A$33,0,$C$1)))))</f>
        <v>1.0338249261812062</v>
      </c>
      <c r="W203" s="270">
        <f ca="1">IF(OFFSET(Scenarios!$A$84,0,$C$1)="Yes",0,IF(OFFSET(Scenarios!$A$29,0,$C$1)&gt;=W$4,Tracks!AA$113,IF(OFFSET(Scenarios!$A$29,0,$C$1)+1=W$4,OFFSET(Scenarios!$A$28,0,$C$1)/5*(1-(1+OFFSET(Scenarios!$A$33,0,$C$1))^5)/-OFFSET(Scenarios!$A$33,0,$C$1),V$203*(1+OFFSET(Scenarios!$A$33,0,$C$1)))))</f>
        <v>1.0545014247048303</v>
      </c>
      <c r="X203" s="270">
        <f ca="1">IF(OFFSET(Scenarios!$A$84,0,$C$1)="Yes",0,IF(OFFSET(Scenarios!$A$29,0,$C$1)&gt;=X$4,Tracks!AB$113,IF(OFFSET(Scenarios!$A$29,0,$C$1)+1=X$4,OFFSET(Scenarios!$A$28,0,$C$1)/5*(1-(1+OFFSET(Scenarios!$A$33,0,$C$1))^5)/-OFFSET(Scenarios!$A$33,0,$C$1),W$203*(1+OFFSET(Scenarios!$A$33,0,$C$1)))))</f>
        <v>1.075591453198927</v>
      </c>
    </row>
    <row r="204" spans="1:24" x14ac:dyDescent="0.2">
      <c r="A204" s="220" t="s">
        <v>979</v>
      </c>
      <c r="B204" s="226"/>
      <c r="C204" s="69"/>
      <c r="D204" s="69">
        <f>SUM(Data!C$68:C$69)</f>
        <v>0</v>
      </c>
      <c r="E204" s="69">
        <f>SUM(Data!D$68:D$69)</f>
        <v>0</v>
      </c>
      <c r="F204" s="69">
        <f>SUM(Data!E$68:E$69)</f>
        <v>0</v>
      </c>
      <c r="G204" s="69">
        <f>SUM(Data!F$68:F$69)</f>
        <v>0</v>
      </c>
      <c r="H204" s="69">
        <f>SUM(Data!G$68:G$69)</f>
        <v>0</v>
      </c>
      <c r="I204" s="69">
        <f>SUM(Data!H$68:H$69)</f>
        <v>0</v>
      </c>
      <c r="J204" s="103">
        <f>SUM(Data!I$68:I$69)</f>
        <v>-0.27800000000000002</v>
      </c>
      <c r="K204" s="103">
        <f>SUM(Data!J$68:J$69)</f>
        <v>0.17499999999999999</v>
      </c>
      <c r="L204" s="103">
        <f>SUM(Data!K$68:K$69)</f>
        <v>0.8819999999999999</v>
      </c>
      <c r="M204" s="103">
        <f>SUM(Data!L$68:L$69)</f>
        <v>1.7389999999999999</v>
      </c>
      <c r="N204" s="103">
        <f>SUM(Data!M$68:M$69)</f>
        <v>2.7389999999999999</v>
      </c>
      <c r="O204" s="98">
        <f ca="1">N$204+IF(OFFSET(Scenarios!$A$29,0,$C$1)&gt;=O$4,Tracks!S$113,IF(OFFSET(Scenarios!$A$29,0,$C$1)+1=O$4,OFFSET(Scenarios!$A$28,0,$C$1)/5*(1-(1+OFFSET(Scenarios!$A$33,0,$C$1))^5)/-OFFSET(Scenarios!$A$33,0,$C$1),(N$204-M$204)*(1+OFFSET(Scenarios!$A$33,0,$C$1))))</f>
        <v>3.9169999999999998</v>
      </c>
      <c r="P204" s="98">
        <f ca="1">O$204+IF(OFFSET(Scenarios!$A$29,0,$C$1)&gt;=P$4,Tracks!T$113,IF(OFFSET(Scenarios!$A$29,0,$C$1)+1=P$4,OFFSET(Scenarios!$A$28,0,$C$1)/5*(1-(1+OFFSET(Scenarios!$A$33,0,$C$1))^5)/-OFFSET(Scenarios!$A$33,0,$C$1),(O$204-N$204)*(1+OFFSET(Scenarios!$A$33,0,$C$1))))</f>
        <v>4.99</v>
      </c>
      <c r="Q204" s="98">
        <f ca="1">P$204+IF(OFFSET(Scenarios!$A$29,0,$C$1)&gt;=Q$4,Tracks!U$113,IF(OFFSET(Scenarios!$A$29,0,$C$1)+1=Q$4,OFFSET(Scenarios!$A$28,0,$C$1)/5*(1-(1+OFFSET(Scenarios!$A$33,0,$C$1))^5)/-OFFSET(Scenarios!$A$33,0,$C$1),(P$204-O$204)*(1+OFFSET(Scenarios!$A$33,0,$C$1))))</f>
        <v>6.0120000000000005</v>
      </c>
      <c r="R204" s="98">
        <f ca="1">Q$204+IF(OFFSET(Scenarios!$A$29,0,$C$1)&gt;=R$4,Tracks!V$113,IF(OFFSET(Scenarios!$A$29,0,$C$1)+1=R$4,OFFSET(Scenarios!$A$28,0,$C$1)/5*(1-(1+OFFSET(Scenarios!$A$33,0,$C$1))^5)/-OFFSET(Scenarios!$A$33,0,$C$1),(Q$204-P$204)*(1+OFFSET(Scenarios!$A$33,0,$C$1))))</f>
        <v>6.8020000000000005</v>
      </c>
      <c r="S204" s="98">
        <f ca="1">R$204+IF(OFFSET(Scenarios!$A$29,0,$C$1)&gt;=S$4,Tracks!W$113,IF(OFFSET(Scenarios!$A$29,0,$C$1)+1=S$4,OFFSET(Scenarios!$A$28,0,$C$1)/5*(1-(1+OFFSET(Scenarios!$A$33,0,$C$1))^5)/-OFFSET(Scenarios!$A$33,0,$C$1),(R$204-Q$204)*(1+OFFSET(Scenarios!$A$33,0,$C$1))))</f>
        <v>7.7761963179520004</v>
      </c>
      <c r="T204" s="98">
        <f ca="1">S$204+IF(OFFSET(Scenarios!$A$29,0,$C$1)&gt;=T$4,Tracks!X$113,IF(OFFSET(Scenarios!$A$29,0,$C$1)+1=T$4,OFFSET(Scenarios!$A$28,0,$C$1)/5*(1-(1+OFFSET(Scenarios!$A$33,0,$C$1))^5)/-OFFSET(Scenarios!$A$33,0,$C$1),(S$204-R$204)*(1+OFFSET(Scenarios!$A$33,0,$C$1))))</f>
        <v>8.7698765622630397</v>
      </c>
      <c r="U204" s="98">
        <f ca="1">T$204+IF(OFFSET(Scenarios!$A$29,0,$C$1)&gt;=U$4,Tracks!Y$113,IF(OFFSET(Scenarios!$A$29,0,$C$1)+1=U$4,OFFSET(Scenarios!$A$28,0,$C$1)/5*(1-(1+OFFSET(Scenarios!$A$33,0,$C$1))^5)/-OFFSET(Scenarios!$A$33,0,$C$1),(T$204-S$204)*(1+OFFSET(Scenarios!$A$33,0,$C$1))))</f>
        <v>9.7834304114602997</v>
      </c>
      <c r="V204" s="98">
        <f ca="1">U$204+IF(OFFSET(Scenarios!$A$29,0,$C$1)&gt;=V$4,Tracks!Z$113,IF(OFFSET(Scenarios!$A$29,0,$C$1)+1=V$4,OFFSET(Scenarios!$A$28,0,$C$1)/5*(1-(1+OFFSET(Scenarios!$A$33,0,$C$1))^5)/-OFFSET(Scenarios!$A$33,0,$C$1),(U$204-T$204)*(1+OFFSET(Scenarios!$A$33,0,$C$1))))</f>
        <v>10.817255337641505</v>
      </c>
      <c r="W204" s="98">
        <f ca="1">V$204+IF(OFFSET(Scenarios!$A$29,0,$C$1)&gt;=W$4,Tracks!AA$113,IF(OFFSET(Scenarios!$A$29,0,$C$1)+1=W$4,OFFSET(Scenarios!$A$28,0,$C$1)/5*(1-(1+OFFSET(Scenarios!$A$33,0,$C$1))^5)/-OFFSET(Scenarios!$A$33,0,$C$1),(V$204-U$204)*(1+OFFSET(Scenarios!$A$33,0,$C$1))))</f>
        <v>11.871756762346335</v>
      </c>
      <c r="X204" s="98">
        <f ca="1">W$204+IF(OFFSET(Scenarios!$A$29,0,$C$1)&gt;=X$4,Tracks!AB$113,IF(OFFSET(Scenarios!$A$29,0,$C$1)+1=X$4,OFFSET(Scenarios!$A$28,0,$C$1)/5*(1-(1+OFFSET(Scenarios!$A$33,0,$C$1))^5)/-OFFSET(Scenarios!$A$33,0,$C$1),(W$204-V$204)*(1+OFFSET(Scenarios!$A$33,0,$C$1))))</f>
        <v>12.947348215545261</v>
      </c>
    </row>
    <row r="205" spans="1:24" x14ac:dyDescent="0.2">
      <c r="A205" s="27"/>
      <c r="B205" s="77"/>
      <c r="C205" s="69"/>
      <c r="D205" s="99"/>
      <c r="E205" s="99"/>
      <c r="F205" s="99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</row>
    <row r="206" spans="1:24" x14ac:dyDescent="0.2">
      <c r="A206" s="106" t="s">
        <v>651</v>
      </c>
      <c r="B206" s="77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 s="157" t="s">
        <v>308</v>
      </c>
      <c r="B207" s="226"/>
      <c r="C207" s="69"/>
      <c r="D207" s="69">
        <f>Data!C$114</f>
        <v>25.048999999999999</v>
      </c>
      <c r="E207" s="69">
        <f>Data!D$114</f>
        <v>25.696000000000002</v>
      </c>
      <c r="F207" s="69">
        <f>Data!E$114</f>
        <v>27.536000000000001</v>
      </c>
      <c r="G207" s="69">
        <f>Data!F$114</f>
        <v>28.663</v>
      </c>
      <c r="H207" s="69">
        <f>Data!G$114</f>
        <v>30.093</v>
      </c>
      <c r="I207" s="69">
        <f>Data!H$114</f>
        <v>31.308</v>
      </c>
      <c r="J207" s="103">
        <f>Data!I$114</f>
        <v>32.634999999999998</v>
      </c>
      <c r="K207" s="103">
        <f>Data!J$114</f>
        <v>33.609000000000002</v>
      </c>
      <c r="L207" s="103">
        <f>Data!K$114</f>
        <v>34.631</v>
      </c>
      <c r="M207" s="103">
        <f>Data!L$114</f>
        <v>35.923999999999999</v>
      </c>
      <c r="N207" s="103">
        <f>Data!M$114</f>
        <v>37.369999999999997</v>
      </c>
      <c r="O207" s="73">
        <f t="shared" ref="O207:X207" ca="1" si="100">N$207*(1+O$247)</f>
        <v>38.131678864908068</v>
      </c>
      <c r="P207" s="73">
        <f t="shared" ca="1" si="100"/>
        <v>38.894312442206228</v>
      </c>
      <c r="Q207" s="73">
        <f t="shared" ca="1" si="100"/>
        <v>39.672198691050355</v>
      </c>
      <c r="R207" s="73">
        <f t="shared" ca="1" si="100"/>
        <v>40.465642664871361</v>
      </c>
      <c r="S207" s="73">
        <f t="shared" ca="1" si="100"/>
        <v>41.274955518168788</v>
      </c>
      <c r="T207" s="73">
        <f t="shared" ca="1" si="100"/>
        <v>42.100454628532162</v>
      </c>
      <c r="U207" s="73">
        <f t="shared" ca="1" si="100"/>
        <v>42.942463721102804</v>
      </c>
      <c r="V207" s="73">
        <f t="shared" ca="1" si="100"/>
        <v>43.80131299552486</v>
      </c>
      <c r="W207" s="73">
        <f t="shared" ca="1" si="100"/>
        <v>44.677339255435356</v>
      </c>
      <c r="X207" s="73">
        <f t="shared" ca="1" si="100"/>
        <v>45.570886040544067</v>
      </c>
    </row>
    <row r="208" spans="1:24" x14ac:dyDescent="0.2">
      <c r="A208" s="157" t="s">
        <v>537</v>
      </c>
      <c r="B208" s="226"/>
      <c r="C208" s="69"/>
      <c r="D208" s="69">
        <f>Data!C$115</f>
        <v>0.80400000000000005</v>
      </c>
      <c r="E208" s="69">
        <f>Data!D$115</f>
        <v>0.84499999999999997</v>
      </c>
      <c r="F208" s="69">
        <f>Data!E$115</f>
        <v>1.135</v>
      </c>
      <c r="G208" s="69">
        <f>Data!F$115</f>
        <v>1.1220000000000001</v>
      </c>
      <c r="H208" s="69">
        <f>Data!G$115</f>
        <v>1.157</v>
      </c>
      <c r="I208" s="69">
        <f>Data!H$115</f>
        <v>1.111</v>
      </c>
      <c r="J208" s="103">
        <f>Data!I$115</f>
        <v>1.071</v>
      </c>
      <c r="K208" s="103">
        <f>Data!J$115</f>
        <v>1.175</v>
      </c>
      <c r="L208" s="103">
        <f>Data!K$115</f>
        <v>1.1930000000000001</v>
      </c>
      <c r="M208" s="103">
        <f>Data!L$115</f>
        <v>1.1859999999999999</v>
      </c>
      <c r="N208" s="103">
        <f>Data!M$115</f>
        <v>1.165</v>
      </c>
      <c r="O208" s="73">
        <f t="shared" ref="O208:X208" ca="1" si="101">N$208*(1+O$247)</f>
        <v>1.1887451398880895</v>
      </c>
      <c r="P208" s="73">
        <f t="shared" ca="1" si="101"/>
        <v>1.2125200426858513</v>
      </c>
      <c r="Q208" s="73">
        <f t="shared" ca="1" si="101"/>
        <v>1.2367704435395683</v>
      </c>
      <c r="R208" s="73">
        <f t="shared" ca="1" si="101"/>
        <v>1.2615058524103597</v>
      </c>
      <c r="S208" s="73">
        <f t="shared" ca="1" si="101"/>
        <v>1.2867359694585669</v>
      </c>
      <c r="T208" s="73">
        <f t="shared" ca="1" si="101"/>
        <v>1.3124706888477382</v>
      </c>
      <c r="U208" s="73">
        <f t="shared" ca="1" si="101"/>
        <v>1.3387201026246931</v>
      </c>
      <c r="V208" s="73">
        <f t="shared" ca="1" si="101"/>
        <v>1.3654945046771869</v>
      </c>
      <c r="W208" s="73">
        <f t="shared" ca="1" si="101"/>
        <v>1.3928043947707307</v>
      </c>
      <c r="X208" s="73">
        <f t="shared" ca="1" si="101"/>
        <v>1.4206604826661453</v>
      </c>
    </row>
    <row r="209" spans="1:24" x14ac:dyDescent="0.2">
      <c r="A209" s="157" t="s">
        <v>851</v>
      </c>
      <c r="B209" s="226"/>
      <c r="C209" s="69"/>
      <c r="D209" s="173">
        <f>Data!C$116</f>
        <v>1.0620000000000001</v>
      </c>
      <c r="E209" s="173">
        <f>Data!D$116</f>
        <v>1.375</v>
      </c>
      <c r="F209" s="173">
        <f>Data!E$116</f>
        <v>1.429</v>
      </c>
      <c r="G209" s="173">
        <f>Data!F$116</f>
        <v>1.4630000000000001</v>
      </c>
      <c r="H209" s="173">
        <f>Data!G$116</f>
        <v>1.6910000000000001</v>
      </c>
      <c r="I209" s="173">
        <f>Data!H$116</f>
        <v>1.6319999999999999</v>
      </c>
      <c r="J209" s="127">
        <f>Data!I$116</f>
        <v>1.5489999999999999</v>
      </c>
      <c r="K209" s="127">
        <f>Data!J$116</f>
        <v>1.6919999999999999</v>
      </c>
      <c r="L209" s="127">
        <f>Data!K$116</f>
        <v>1.52</v>
      </c>
      <c r="M209" s="127">
        <f>Data!L$116</f>
        <v>1.5369999999999999</v>
      </c>
      <c r="N209" s="127">
        <f>Data!M$116</f>
        <v>1.5329999999999999</v>
      </c>
      <c r="O209" s="81">
        <f t="shared" ref="O209:X209" ca="1" si="102">N$209*(1+O$247)</f>
        <v>1.5642457505995202</v>
      </c>
      <c r="P209" s="81">
        <f t="shared" ca="1" si="102"/>
        <v>1.5955306656115107</v>
      </c>
      <c r="Q209" s="81">
        <f t="shared" ca="1" si="102"/>
        <v>1.6274412789237409</v>
      </c>
      <c r="R209" s="81">
        <f t="shared" ca="1" si="102"/>
        <v>1.6599901045022158</v>
      </c>
      <c r="S209" s="81">
        <f t="shared" ca="1" si="102"/>
        <v>1.6931899065922602</v>
      </c>
      <c r="T209" s="81">
        <f t="shared" ca="1" si="102"/>
        <v>1.7270537047241055</v>
      </c>
      <c r="U209" s="81">
        <f t="shared" ca="1" si="102"/>
        <v>1.7615947788185875</v>
      </c>
      <c r="V209" s="81">
        <f t="shared" ca="1" si="102"/>
        <v>1.7968266743949592</v>
      </c>
      <c r="W209" s="81">
        <f t="shared" ca="1" si="102"/>
        <v>1.8327632078828584</v>
      </c>
      <c r="X209" s="81">
        <f t="shared" ca="1" si="102"/>
        <v>1.8694184720405156</v>
      </c>
    </row>
    <row r="210" spans="1:24" x14ac:dyDescent="0.2">
      <c r="A210" s="27" t="s">
        <v>395</v>
      </c>
      <c r="B210" s="77"/>
      <c r="C210" s="69"/>
      <c r="D210" s="71">
        <f t="shared" ref="D210:X210" si="103">SUM(D$207:D$209)</f>
        <v>26.914999999999999</v>
      </c>
      <c r="E210" s="71">
        <f t="shared" si="103"/>
        <v>27.916</v>
      </c>
      <c r="F210" s="71">
        <f t="shared" si="103"/>
        <v>30.1</v>
      </c>
      <c r="G210" s="71">
        <f t="shared" si="103"/>
        <v>31.248000000000001</v>
      </c>
      <c r="H210" s="71">
        <f t="shared" si="103"/>
        <v>32.941000000000003</v>
      </c>
      <c r="I210" s="71">
        <f t="shared" si="103"/>
        <v>34.050999999999995</v>
      </c>
      <c r="J210" s="128">
        <f t="shared" si="103"/>
        <v>35.254999999999995</v>
      </c>
      <c r="K210" s="128">
        <f t="shared" si="103"/>
        <v>36.475999999999999</v>
      </c>
      <c r="L210" s="128">
        <f t="shared" si="103"/>
        <v>37.344000000000001</v>
      </c>
      <c r="M210" s="128">
        <f t="shared" si="103"/>
        <v>38.646999999999998</v>
      </c>
      <c r="N210" s="128">
        <f t="shared" si="103"/>
        <v>40.067999999999998</v>
      </c>
      <c r="O210" s="75">
        <f t="shared" ca="1" si="103"/>
        <v>40.884669755395677</v>
      </c>
      <c r="P210" s="75">
        <f t="shared" ca="1" si="103"/>
        <v>41.702363150503594</v>
      </c>
      <c r="Q210" s="75">
        <f t="shared" ca="1" si="103"/>
        <v>42.536410413513664</v>
      </c>
      <c r="R210" s="75">
        <f t="shared" ca="1" si="103"/>
        <v>43.387138621783933</v>
      </c>
      <c r="S210" s="75">
        <f t="shared" ca="1" si="103"/>
        <v>44.254881394219616</v>
      </c>
      <c r="T210" s="75">
        <f t="shared" ca="1" si="103"/>
        <v>45.139979022104008</v>
      </c>
      <c r="U210" s="75">
        <f t="shared" ca="1" si="103"/>
        <v>46.042778602546086</v>
      </c>
      <c r="V210" s="75">
        <f t="shared" ca="1" si="103"/>
        <v>46.963634174597004</v>
      </c>
      <c r="W210" s="75">
        <f t="shared" ca="1" si="103"/>
        <v>47.90290685808894</v>
      </c>
      <c r="X210" s="75">
        <f t="shared" ca="1" si="103"/>
        <v>48.860964995250725</v>
      </c>
    </row>
    <row r="211" spans="1:24" x14ac:dyDescent="0.2">
      <c r="A211" s="27" t="s">
        <v>396</v>
      </c>
      <c r="B211" s="226"/>
      <c r="C211" s="69"/>
      <c r="D211" s="71">
        <f>SUM(Data!C$63:C$64,Data!C$66:C$67)</f>
        <v>11.030999999999999</v>
      </c>
      <c r="E211" s="71">
        <f>SUM(Data!D$63:D$64,Data!D$66:D$67)</f>
        <v>12.443</v>
      </c>
      <c r="F211" s="71">
        <f>SUM(Data!E$63:E$64,Data!E$66:E$67)</f>
        <v>13.657</v>
      </c>
      <c r="G211" s="71">
        <f>SUM(Data!F$63:F$64,Data!F$66:F$67)</f>
        <v>14.053999999999998</v>
      </c>
      <c r="H211" s="71">
        <f>SUM(Data!G$63:G$64,Data!G$66:G$67)</f>
        <v>14.999000000000001</v>
      </c>
      <c r="I211" s="71">
        <f>SUM(Data!H$63:H$64,Data!H$66:H$67)</f>
        <v>15.556000000000001</v>
      </c>
      <c r="J211" s="128">
        <f>SUM(Data!I$63:I$64,Data!I$66:I$67)</f>
        <v>15.508000000000001</v>
      </c>
      <c r="K211" s="128">
        <f>SUM(Data!J$63:J$64,Data!J$66:J$67)</f>
        <v>15.860999999999999</v>
      </c>
      <c r="L211" s="128">
        <f>SUM(Data!K$63:K$64,Data!K$66:K$67)</f>
        <v>15.879999999999999</v>
      </c>
      <c r="M211" s="128">
        <f>SUM(Data!L$63:L$64,Data!L$66:L$67)</f>
        <v>16.015000000000001</v>
      </c>
      <c r="N211" s="128">
        <f>SUM(Data!M$63:M$64,Data!M$66:M$67)</f>
        <v>16.117000000000001</v>
      </c>
      <c r="O211" s="75">
        <f t="shared" ref="O211:X211" ca="1" si="104">N$211*(1+O$247)</f>
        <v>16.445498214228618</v>
      </c>
      <c r="P211" s="75">
        <f t="shared" ca="1" si="104"/>
        <v>16.774408178513191</v>
      </c>
      <c r="Q211" s="75">
        <f t="shared" ca="1" si="104"/>
        <v>17.109896342083456</v>
      </c>
      <c r="R211" s="75">
        <f t="shared" ca="1" si="104"/>
        <v>17.452094268925126</v>
      </c>
      <c r="S211" s="75">
        <f t="shared" ca="1" si="104"/>
        <v>17.801136154303631</v>
      </c>
      <c r="T211" s="75">
        <f t="shared" ca="1" si="104"/>
        <v>18.157158877389705</v>
      </c>
      <c r="U211" s="75">
        <f t="shared" ca="1" si="104"/>
        <v>18.520302054937499</v>
      </c>
      <c r="V211" s="75">
        <f t="shared" ca="1" si="104"/>
        <v>18.890708096036249</v>
      </c>
      <c r="W211" s="75">
        <f t="shared" ca="1" si="104"/>
        <v>19.268522257956974</v>
      </c>
      <c r="X211" s="75">
        <f t="shared" ca="1" si="104"/>
        <v>19.653892703116114</v>
      </c>
    </row>
    <row r="212" spans="1:24" x14ac:dyDescent="0.2">
      <c r="A212" s="220" t="s">
        <v>682</v>
      </c>
      <c r="B212" s="226"/>
      <c r="C212" s="69"/>
      <c r="D212" s="274">
        <f>SUM(D$151,D$161,D$185)-Data!C$88</f>
        <v>0.22300000000000608</v>
      </c>
      <c r="E212" s="274">
        <f>SUM(E$151,E$161,E$185)-Data!D$88</f>
        <v>-0.10000000000000142</v>
      </c>
      <c r="F212" s="274">
        <f>SUM(F$151,F$161,F$185)-Data!E$88</f>
        <v>-0.39900000000000091</v>
      </c>
      <c r="G212" s="274">
        <f>SUM(G$151,G$161,G$185)-Data!F$88</f>
        <v>-4.0000000000048885E-3</v>
      </c>
      <c r="H212" s="274">
        <f>SUM(H$151,H$161,H$185)-Data!G$88</f>
        <v>-0.30100000000000193</v>
      </c>
      <c r="I212" s="274">
        <f>SUM(I$151,I$161,I$185)-Data!H$88</f>
        <v>-9.9999999999909051E-3</v>
      </c>
      <c r="J212" s="153">
        <f>SUM(J$151,J$161,J$185)-Data!I$88- IF($I$1="Yes",#REF!,0)- IF($L$1="Yes",#REF!,0)</f>
        <v>-9.9999999999766942E-4</v>
      </c>
      <c r="K212" s="153">
        <f>SUM(K$151,K$161,K$185)-Data!J$88- IF($I$1="Yes",#REF!,0)- IF($L$1="Yes",#REF!,0)</f>
        <v>-1.0000000000047748E-3</v>
      </c>
      <c r="L212" s="153">
        <f>SUM(L$151,L$161,L$185)-Data!K$88- IF($I$1="Yes",#REF!,0)- IF($L$1="Yes",#REF!,0)</f>
        <v>-2.0000000000024443E-3</v>
      </c>
      <c r="M212" s="153">
        <f>SUM(M$151,M$161,M$185)-Data!L$88- IF($I$1="Yes",#REF!,0)- IF($L$1="Yes",#REF!,0)</f>
        <v>-1.9999999999953388E-3</v>
      </c>
      <c r="N212" s="153">
        <f>SUM(N$151,N$161,N$185)-Data!M$88- IF($I$1="Yes",#REF!,0)- IF($L$1="Yes",#REF!,0)</f>
        <v>-9.9999999999056399E-4</v>
      </c>
      <c r="O212" s="230">
        <f t="shared" ref="O212:X212" si="105">IF(O$2="Proj Yr1",0,N$212)</f>
        <v>0</v>
      </c>
      <c r="P212" s="230">
        <f t="shared" si="105"/>
        <v>0</v>
      </c>
      <c r="Q212" s="230">
        <f t="shared" si="105"/>
        <v>0</v>
      </c>
      <c r="R212" s="230">
        <f t="shared" si="105"/>
        <v>0</v>
      </c>
      <c r="S212" s="230">
        <f t="shared" si="105"/>
        <v>0</v>
      </c>
      <c r="T212" s="230">
        <f t="shared" si="105"/>
        <v>0</v>
      </c>
      <c r="U212" s="230">
        <f t="shared" si="105"/>
        <v>0</v>
      </c>
      <c r="V212" s="230">
        <f t="shared" si="105"/>
        <v>0</v>
      </c>
      <c r="W212" s="230">
        <f t="shared" si="105"/>
        <v>0</v>
      </c>
      <c r="X212" s="230">
        <f t="shared" si="105"/>
        <v>0</v>
      </c>
    </row>
    <row r="213" spans="1:24" x14ac:dyDescent="0.2">
      <c r="A213" s="31"/>
      <c r="B213" s="77"/>
      <c r="C213" s="69"/>
      <c r="D213" s="99"/>
      <c r="E213" s="99"/>
      <c r="F213" s="99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</row>
    <row r="214" spans="1:24" x14ac:dyDescent="0.2">
      <c r="A214" s="106" t="s">
        <v>652</v>
      </c>
      <c r="B214" s="77"/>
      <c r="C214" s="69"/>
      <c r="D214" s="99"/>
      <c r="E214" s="99"/>
      <c r="F214" s="99"/>
      <c r="G214" s="104"/>
      <c r="H214" s="104"/>
      <c r="I214" s="104"/>
      <c r="J214" s="104"/>
      <c r="K214" s="104"/>
      <c r="L214" s="104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spans="1:24" x14ac:dyDescent="0.2">
      <c r="A215" s="220" t="s">
        <v>112</v>
      </c>
      <c r="B215" s="226"/>
      <c r="C215" s="69"/>
      <c r="D215" s="69">
        <f>Data!C$211</f>
        <v>0.70399999999999996</v>
      </c>
      <c r="E215" s="69">
        <f>Data!D$211</f>
        <v>0.56200000000000006</v>
      </c>
      <c r="F215" s="69">
        <f>Data!E$211</f>
        <v>-0.20699999999999999</v>
      </c>
      <c r="G215" s="69">
        <f>Data!F$211</f>
        <v>-0.21199999999999999</v>
      </c>
      <c r="H215" s="69">
        <f>Data!G$211</f>
        <v>-0.29099999999999998</v>
      </c>
      <c r="I215" s="69">
        <f>Data!H$211</f>
        <v>-0.20200000000000001</v>
      </c>
      <c r="J215" s="103">
        <f>Data!I$211</f>
        <v>-3.0000000000000001E-3</v>
      </c>
      <c r="K215" s="103">
        <f>Data!J$211</f>
        <v>-3.0000000000000001E-3</v>
      </c>
      <c r="L215" s="103">
        <f>Data!K$211</f>
        <v>-3.0000000000000001E-3</v>
      </c>
      <c r="M215" s="103">
        <f>Data!L$211</f>
        <v>-3.0000000000000001E-3</v>
      </c>
      <c r="N215" s="103">
        <f>Data!M$211</f>
        <v>-3.0000000000000001E-3</v>
      </c>
      <c r="O215" s="275">
        <f t="shared" ref="O215:X215" si="106">N$215</f>
        <v>-3.0000000000000001E-3</v>
      </c>
      <c r="P215" s="275">
        <f t="shared" si="106"/>
        <v>-3.0000000000000001E-3</v>
      </c>
      <c r="Q215" s="275">
        <f t="shared" si="106"/>
        <v>-3.0000000000000001E-3</v>
      </c>
      <c r="R215" s="275">
        <f t="shared" si="106"/>
        <v>-3.0000000000000001E-3</v>
      </c>
      <c r="S215" s="275">
        <f t="shared" si="106"/>
        <v>-3.0000000000000001E-3</v>
      </c>
      <c r="T215" s="275">
        <f t="shared" si="106"/>
        <v>-3.0000000000000001E-3</v>
      </c>
      <c r="U215" s="275">
        <f t="shared" si="106"/>
        <v>-3.0000000000000001E-3</v>
      </c>
      <c r="V215" s="275">
        <f t="shared" si="106"/>
        <v>-3.0000000000000001E-3</v>
      </c>
      <c r="W215" s="275">
        <f t="shared" si="106"/>
        <v>-3.0000000000000001E-3</v>
      </c>
      <c r="X215" s="275">
        <f t="shared" si="106"/>
        <v>-3.0000000000000001E-3</v>
      </c>
    </row>
    <row r="216" spans="1:24" x14ac:dyDescent="0.2">
      <c r="A216" s="220" t="s">
        <v>639</v>
      </c>
      <c r="B216" s="226"/>
      <c r="C216" s="69"/>
      <c r="D216" s="69">
        <f>Data!C$212</f>
        <v>0</v>
      </c>
      <c r="E216" s="69">
        <f>Data!D$212</f>
        <v>0</v>
      </c>
      <c r="F216" s="69">
        <f>Data!E$212</f>
        <v>1.7000000000000001E-2</v>
      </c>
      <c r="G216" s="69">
        <f>Data!F$212</f>
        <v>7.3999999999999996E-2</v>
      </c>
      <c r="H216" s="69">
        <f>Data!G$212</f>
        <v>0.61199999999999999</v>
      </c>
      <c r="I216" s="69">
        <f>Data!H$212</f>
        <v>0.375</v>
      </c>
      <c r="J216" s="103">
        <f>Data!I$212</f>
        <v>1E-3</v>
      </c>
      <c r="K216" s="103">
        <f>Data!J$212</f>
        <v>0</v>
      </c>
      <c r="L216" s="103">
        <f>Data!K$212</f>
        <v>-1E-3</v>
      </c>
      <c r="M216" s="103">
        <f>Data!L$212</f>
        <v>-2E-3</v>
      </c>
      <c r="N216" s="103">
        <f>Data!M$212</f>
        <v>-3.0000000000000001E-3</v>
      </c>
      <c r="O216" s="275">
        <f t="shared" ref="O216:X216" ca="1" si="107">SUM(N$216,O$218,-O$217)</f>
        <v>-3.0000000000000001E-3</v>
      </c>
      <c r="P216" s="275">
        <f t="shared" ca="1" si="107"/>
        <v>-3.0000000000000001E-3</v>
      </c>
      <c r="Q216" s="275">
        <f t="shared" ca="1" si="107"/>
        <v>-3.0000000000000001E-3</v>
      </c>
      <c r="R216" s="275">
        <f t="shared" ca="1" si="107"/>
        <v>-3.0000000000000001E-3</v>
      </c>
      <c r="S216" s="275">
        <f t="shared" ca="1" si="107"/>
        <v>-3.0000000000000001E-3</v>
      </c>
      <c r="T216" s="275">
        <f t="shared" ca="1" si="107"/>
        <v>-3.0000000000000001E-3</v>
      </c>
      <c r="U216" s="275">
        <f t="shared" ca="1" si="107"/>
        <v>-3.0000000000000001E-3</v>
      </c>
      <c r="V216" s="275">
        <f t="shared" ca="1" si="107"/>
        <v>-3.0000000000000001E-3</v>
      </c>
      <c r="W216" s="275">
        <f t="shared" ca="1" si="107"/>
        <v>-3.0000000000000001E-3</v>
      </c>
      <c r="X216" s="275">
        <f t="shared" ca="1" si="107"/>
        <v>-3.0000000000000001E-3</v>
      </c>
    </row>
    <row r="217" spans="1:24" x14ac:dyDescent="0.2">
      <c r="A217" s="220" t="s">
        <v>640</v>
      </c>
      <c r="B217" s="226"/>
      <c r="C217" s="69"/>
      <c r="D217" s="69">
        <f>Data!C$213</f>
        <v>0</v>
      </c>
      <c r="E217" s="69">
        <f>Data!D$213</f>
        <v>0</v>
      </c>
      <c r="F217" s="69">
        <f>Data!E$213</f>
        <v>0</v>
      </c>
      <c r="G217" s="69">
        <f>Data!F$213</f>
        <v>2.3E-2</v>
      </c>
      <c r="H217" s="69">
        <f>Data!G$213</f>
        <v>0.32200000000000001</v>
      </c>
      <c r="I217" s="69">
        <f>Data!H$213</f>
        <v>0.57099999999999995</v>
      </c>
      <c r="J217" s="103">
        <f>Data!I$213</f>
        <v>0.38200000000000001</v>
      </c>
      <c r="K217" s="103">
        <f>Data!J$213</f>
        <v>5.0000000000000001E-3</v>
      </c>
      <c r="L217" s="103">
        <f>Data!K$213</f>
        <v>5.0000000000000001E-3</v>
      </c>
      <c r="M217" s="103">
        <f>Data!L$213</f>
        <v>5.0000000000000001E-3</v>
      </c>
      <c r="N217" s="103">
        <f>Data!M$213</f>
        <v>5.0000000000000001E-3</v>
      </c>
      <c r="O217" s="275">
        <f t="shared" ref="O217:X217" ca="1" si="108">N$217*(1+O$247)</f>
        <v>5.1019104716227013E-3</v>
      </c>
      <c r="P217" s="275">
        <f t="shared" ca="1" si="108"/>
        <v>5.2039486810551558E-3</v>
      </c>
      <c r="Q217" s="275">
        <f t="shared" ca="1" si="108"/>
        <v>5.3080276546762593E-3</v>
      </c>
      <c r="R217" s="275">
        <f t="shared" ca="1" si="108"/>
        <v>5.4141882077697844E-3</v>
      </c>
      <c r="S217" s="275">
        <f t="shared" ca="1" si="108"/>
        <v>5.5224719719251802E-3</v>
      </c>
      <c r="T217" s="275">
        <f t="shared" ca="1" si="108"/>
        <v>5.6329214113636844E-3</v>
      </c>
      <c r="U217" s="275">
        <f t="shared" ca="1" si="108"/>
        <v>5.7455798395909582E-3</v>
      </c>
      <c r="V217" s="275">
        <f t="shared" ca="1" si="108"/>
        <v>5.8604914363827778E-3</v>
      </c>
      <c r="W217" s="275">
        <f t="shared" ca="1" si="108"/>
        <v>5.9777012651104338E-3</v>
      </c>
      <c r="X217" s="275">
        <f t="shared" ca="1" si="108"/>
        <v>6.0972552904126429E-3</v>
      </c>
    </row>
    <row r="218" spans="1:24" x14ac:dyDescent="0.2">
      <c r="A218" s="220" t="s">
        <v>641</v>
      </c>
      <c r="B218" s="226"/>
      <c r="C218" s="69"/>
      <c r="D218" s="69">
        <f>Data!C$214</f>
        <v>0</v>
      </c>
      <c r="E218" s="69">
        <f>Data!D$214</f>
        <v>0</v>
      </c>
      <c r="F218" s="69">
        <f>Data!E$214</f>
        <v>1.7000000000000001E-2</v>
      </c>
      <c r="G218" s="69">
        <f>Data!F$214</f>
        <v>0.08</v>
      </c>
      <c r="H218" s="69">
        <f>Data!G$214</f>
        <v>0.86</v>
      </c>
      <c r="I218" s="69">
        <f>Data!H$214</f>
        <v>0.33400000000000002</v>
      </c>
      <c r="J218" s="103">
        <f>Data!I$214</f>
        <v>8.0000000000000002E-3</v>
      </c>
      <c r="K218" s="103">
        <f>Data!J$214</f>
        <v>4.0000000000000001E-3</v>
      </c>
      <c r="L218" s="103">
        <f>Data!K$214</f>
        <v>4.0000000000000001E-3</v>
      </c>
      <c r="M218" s="103">
        <f>Data!L$214</f>
        <v>4.0000000000000001E-3</v>
      </c>
      <c r="N218" s="103">
        <f>Data!M$214</f>
        <v>4.0000000000000001E-3</v>
      </c>
      <c r="O218" s="80">
        <f t="shared" ref="O218:X218" ca="1" si="109">O$217</f>
        <v>5.1019104716227013E-3</v>
      </c>
      <c r="P218" s="80">
        <f t="shared" ca="1" si="109"/>
        <v>5.2039486810551558E-3</v>
      </c>
      <c r="Q218" s="80">
        <f t="shared" ca="1" si="109"/>
        <v>5.3080276546762593E-3</v>
      </c>
      <c r="R218" s="80">
        <f t="shared" ca="1" si="109"/>
        <v>5.4141882077697844E-3</v>
      </c>
      <c r="S218" s="80">
        <f t="shared" ca="1" si="109"/>
        <v>5.5224719719251802E-3</v>
      </c>
      <c r="T218" s="80">
        <f t="shared" ca="1" si="109"/>
        <v>5.6329214113636844E-3</v>
      </c>
      <c r="U218" s="80">
        <f t="shared" ca="1" si="109"/>
        <v>5.7455798395909582E-3</v>
      </c>
      <c r="V218" s="80">
        <f t="shared" ca="1" si="109"/>
        <v>5.8604914363827778E-3</v>
      </c>
      <c r="W218" s="80">
        <f t="shared" ca="1" si="109"/>
        <v>5.9777012651104338E-3</v>
      </c>
      <c r="X218" s="80">
        <f t="shared" ca="1" si="109"/>
        <v>6.0972552904126429E-3</v>
      </c>
    </row>
    <row r="219" spans="1:24" x14ac:dyDescent="0.2">
      <c r="A219" s="220"/>
      <c r="B219" s="77"/>
      <c r="C219" s="69"/>
      <c r="D219" s="99"/>
      <c r="E219" s="99"/>
      <c r="F219" s="99"/>
      <c r="G219" s="104"/>
      <c r="H219" s="104"/>
      <c r="I219" s="104"/>
      <c r="J219" s="104"/>
      <c r="K219" s="104"/>
      <c r="L219" s="104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</row>
    <row r="220" spans="1:24" x14ac:dyDescent="0.2">
      <c r="A220" s="106" t="s">
        <v>397</v>
      </c>
      <c r="B220" s="77"/>
      <c r="C220" s="6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1:24" x14ac:dyDescent="0.2">
      <c r="A221" s="157" t="s">
        <v>653</v>
      </c>
      <c r="B221" s="226"/>
      <c r="C221" s="69"/>
      <c r="D221" s="69">
        <f>Data!C$76</f>
        <v>7.1609999999999996</v>
      </c>
      <c r="E221" s="69">
        <f>Data!D$76</f>
        <v>8.2569999999999997</v>
      </c>
      <c r="F221" s="69">
        <f>Data!E$76</f>
        <v>8.9930000000000003</v>
      </c>
      <c r="G221" s="69">
        <f>Data!F$76</f>
        <v>9.94</v>
      </c>
      <c r="H221" s="69">
        <f>Data!G$76</f>
        <v>10.156000000000001</v>
      </c>
      <c r="I221" s="69">
        <f>Data!H$76</f>
        <v>13.539</v>
      </c>
      <c r="J221" s="103">
        <f>Data!I$76</f>
        <v>12.227</v>
      </c>
      <c r="K221" s="103">
        <f>Data!J$76</f>
        <v>11.766</v>
      </c>
      <c r="L221" s="103">
        <f>Data!K$76</f>
        <v>11.321999999999999</v>
      </c>
      <c r="M221" s="103">
        <f>Data!L$76</f>
        <v>10.904999999999999</v>
      </c>
      <c r="N221" s="103">
        <f>Data!M$76</f>
        <v>10.507</v>
      </c>
      <c r="O221" s="98">
        <f>N$221*Tracks!S$17/Tracks!R$17</f>
        <v>10.262268545703659</v>
      </c>
      <c r="P221" s="98">
        <f>O$221*Tracks!T$17/Tracks!S$17</f>
        <v>10.014452241143079</v>
      </c>
      <c r="Q221" s="98">
        <f>P$221*Tracks!U$17/Tracks!T$17</f>
        <v>9.7419571344685849</v>
      </c>
      <c r="R221" s="98">
        <f>Q$221*Tracks!V$17/Tracks!U$17</f>
        <v>9.4519812096300644</v>
      </c>
      <c r="S221" s="98">
        <f>R$221*Tracks!W$17/Tracks!V$17</f>
        <v>9.1465810334703459</v>
      </c>
      <c r="T221" s="98">
        <f>S$221*Tracks!X$17/Tracks!W$17</f>
        <v>8.8339828733607373</v>
      </c>
      <c r="U221" s="98">
        <f>T$221*Tracks!Y$17/Tracks!X$17</f>
        <v>8.5254978469367781</v>
      </c>
      <c r="V221" s="98">
        <f>U$221*Tracks!Z$17/Tracks!Y$17</f>
        <v>8.222154237619888</v>
      </c>
      <c r="W221" s="98">
        <f>V$221*Tracks!AA$17/Tracks!Z$17</f>
        <v>7.9280651790957153</v>
      </c>
      <c r="X221" s="98">
        <f>W$221*Tracks!AB$17/Tracks!AA$17</f>
        <v>7.6401458211000204</v>
      </c>
    </row>
    <row r="222" spans="1:24" x14ac:dyDescent="0.2">
      <c r="A222" s="68" t="s">
        <v>654</v>
      </c>
      <c r="B222" s="41"/>
      <c r="C222" s="69"/>
      <c r="D222" s="69">
        <f>SUM(D$215,D$216)</f>
        <v>0.70399999999999996</v>
      </c>
      <c r="E222" s="69">
        <f t="shared" ref="E222:X222" si="110">SUM(E$215,E$216)</f>
        <v>0.56200000000000006</v>
      </c>
      <c r="F222" s="69">
        <f t="shared" si="110"/>
        <v>-0.19</v>
      </c>
      <c r="G222" s="69">
        <f t="shared" si="110"/>
        <v>-0.13800000000000001</v>
      </c>
      <c r="H222" s="69">
        <f t="shared" si="110"/>
        <v>0.32100000000000001</v>
      </c>
      <c r="I222" s="69">
        <f t="shared" si="110"/>
        <v>0.17299999999999999</v>
      </c>
      <c r="J222" s="103">
        <f t="shared" si="110"/>
        <v>-2E-3</v>
      </c>
      <c r="K222" s="103">
        <f t="shared" si="110"/>
        <v>-3.0000000000000001E-3</v>
      </c>
      <c r="L222" s="103">
        <f t="shared" si="110"/>
        <v>-4.0000000000000001E-3</v>
      </c>
      <c r="M222" s="103">
        <f t="shared" si="110"/>
        <v>-5.0000000000000001E-3</v>
      </c>
      <c r="N222" s="103">
        <f t="shared" si="110"/>
        <v>-6.0000000000000001E-3</v>
      </c>
      <c r="O222" s="80">
        <f t="shared" ca="1" si="110"/>
        <v>-6.0000000000000001E-3</v>
      </c>
      <c r="P222" s="80">
        <f t="shared" ca="1" si="110"/>
        <v>-6.0000000000000001E-3</v>
      </c>
      <c r="Q222" s="80">
        <f t="shared" ca="1" si="110"/>
        <v>-6.0000000000000001E-3</v>
      </c>
      <c r="R222" s="80">
        <f t="shared" ca="1" si="110"/>
        <v>-6.0000000000000001E-3</v>
      </c>
      <c r="S222" s="80">
        <f t="shared" ca="1" si="110"/>
        <v>-6.0000000000000001E-3</v>
      </c>
      <c r="T222" s="80">
        <f t="shared" ca="1" si="110"/>
        <v>-6.0000000000000001E-3</v>
      </c>
      <c r="U222" s="80">
        <f t="shared" ca="1" si="110"/>
        <v>-6.0000000000000001E-3</v>
      </c>
      <c r="V222" s="80">
        <f t="shared" ca="1" si="110"/>
        <v>-6.0000000000000001E-3</v>
      </c>
      <c r="W222" s="80">
        <f t="shared" ca="1" si="110"/>
        <v>-6.0000000000000001E-3</v>
      </c>
      <c r="X222" s="80">
        <f t="shared" ca="1" si="110"/>
        <v>-6.0000000000000001E-3</v>
      </c>
    </row>
    <row r="223" spans="1:24" x14ac:dyDescent="0.2">
      <c r="A223" s="68" t="s">
        <v>655</v>
      </c>
      <c r="B223" s="226"/>
      <c r="C223" s="69"/>
      <c r="D223" s="69">
        <f>Data!C$119-SUM(D$221,D$222)</f>
        <v>10.673000000000002</v>
      </c>
      <c r="E223" s="69">
        <f>Data!D$119-SUM(E$221,E$222)</f>
        <v>13.213000000000001</v>
      </c>
      <c r="F223" s="69">
        <f>Data!E$119-SUM(F$221,F$222)</f>
        <v>14.439</v>
      </c>
      <c r="G223" s="69">
        <f>Data!F$119-SUM(G$221,G$222)</f>
        <v>15.161000000000001</v>
      </c>
      <c r="H223" s="69">
        <f>Data!G$119-SUM(H$221,H$222)</f>
        <v>16.73</v>
      </c>
      <c r="I223" s="69">
        <f>Data!H$119-SUM(I$221,I$222)</f>
        <v>16.815999999999999</v>
      </c>
      <c r="J223" s="103">
        <f>Data!I$119-SUM(J$221,J$222)</f>
        <v>16.657000000000004</v>
      </c>
      <c r="K223" s="103">
        <f>Data!J$119-SUM(K$221,K$222)</f>
        <v>15.979999999999999</v>
      </c>
      <c r="L223" s="103">
        <f>Data!K$119-SUM(L$221,L$222)</f>
        <v>15.552000000000001</v>
      </c>
      <c r="M223" s="103">
        <f>Data!L$119-SUM(M$221,M$222)</f>
        <v>15.126000000000001</v>
      </c>
      <c r="N223" s="103">
        <f>Data!M$119-SUM(N$221,N$222)</f>
        <v>15.389999999999999</v>
      </c>
      <c r="O223" s="80">
        <f t="shared" ref="O223:X223" ca="1" si="111">N$223*(1+O$247)</f>
        <v>15.703680431654673</v>
      </c>
      <c r="P223" s="80">
        <f t="shared" ca="1" si="111"/>
        <v>16.017754040287766</v>
      </c>
      <c r="Q223" s="80">
        <f t="shared" ca="1" si="111"/>
        <v>16.33810912109352</v>
      </c>
      <c r="R223" s="80">
        <f t="shared" ca="1" si="111"/>
        <v>16.66487130351539</v>
      </c>
      <c r="S223" s="80">
        <f t="shared" ca="1" si="111"/>
        <v>16.9981687295857</v>
      </c>
      <c r="T223" s="80">
        <f t="shared" ca="1" si="111"/>
        <v>17.338132104177415</v>
      </c>
      <c r="U223" s="80">
        <f t="shared" ca="1" si="111"/>
        <v>17.684894746260962</v>
      </c>
      <c r="V223" s="80">
        <f t="shared" ca="1" si="111"/>
        <v>18.038592641186181</v>
      </c>
      <c r="W223" s="80">
        <f t="shared" ca="1" si="111"/>
        <v>18.399364494009905</v>
      </c>
      <c r="X223" s="80">
        <f t="shared" ca="1" si="111"/>
        <v>18.767351783890103</v>
      </c>
    </row>
    <row r="224" spans="1:24" x14ac:dyDescent="0.2">
      <c r="A224" s="158" t="s">
        <v>683</v>
      </c>
      <c r="B224" s="226"/>
      <c r="C224" s="69"/>
      <c r="D224" s="173">
        <f>D$234-Data!C$118</f>
        <v>7.0000000000050022E-3</v>
      </c>
      <c r="E224" s="173">
        <f>E$234-Data!D$118</f>
        <v>0.16899999999999693</v>
      </c>
      <c r="F224" s="173">
        <f>F$234-Data!E$118</f>
        <v>0.65599999999999881</v>
      </c>
      <c r="G224" s="173">
        <f>G$234-Data!F$118</f>
        <v>1</v>
      </c>
      <c r="H224" s="173">
        <f>H$234-Data!G$118</f>
        <v>5.8000000000006935E-2</v>
      </c>
      <c r="I224" s="173">
        <f>I$234-Data!H$118</f>
        <v>0.17000000000000171</v>
      </c>
      <c r="J224" s="127">
        <f>J$234-Data!I$118</f>
        <v>1.0000000000047748E-3</v>
      </c>
      <c r="K224" s="127">
        <f>K$234-Data!J$118</f>
        <v>0</v>
      </c>
      <c r="L224" s="127">
        <f>L$234-Data!K$118</f>
        <v>-1.0000000000047748E-3</v>
      </c>
      <c r="M224" s="127">
        <f>M$234-Data!L$118</f>
        <v>2.0000000000095497E-3</v>
      </c>
      <c r="N224" s="127">
        <f>N$234-Data!M$118</f>
        <v>1.9999999999953388E-3</v>
      </c>
      <c r="O224" s="81">
        <f t="shared" ref="O224:X224" si="112">IF(O$2="Proj Yr1",0,N$224)</f>
        <v>0</v>
      </c>
      <c r="P224" s="81">
        <f t="shared" si="112"/>
        <v>0</v>
      </c>
      <c r="Q224" s="81">
        <f t="shared" si="112"/>
        <v>0</v>
      </c>
      <c r="R224" s="81">
        <f t="shared" si="112"/>
        <v>0</v>
      </c>
      <c r="S224" s="81">
        <f t="shared" si="112"/>
        <v>0</v>
      </c>
      <c r="T224" s="81">
        <f t="shared" si="112"/>
        <v>0</v>
      </c>
      <c r="U224" s="81">
        <f t="shared" si="112"/>
        <v>0</v>
      </c>
      <c r="V224" s="81">
        <f t="shared" si="112"/>
        <v>0</v>
      </c>
      <c r="W224" s="81">
        <f t="shared" si="112"/>
        <v>0</v>
      </c>
      <c r="X224" s="81">
        <f t="shared" si="112"/>
        <v>0</v>
      </c>
    </row>
    <row r="225" spans="1:24" x14ac:dyDescent="0.2">
      <c r="A225" s="27" t="s">
        <v>179</v>
      </c>
      <c r="B225" s="41"/>
      <c r="C225" s="69"/>
      <c r="D225" s="71">
        <f t="shared" ref="D225:X225" si="113">SUM(D$221:D$223,-D$224)</f>
        <v>18.530999999999995</v>
      </c>
      <c r="E225" s="71">
        <f t="shared" si="113"/>
        <v>21.863000000000003</v>
      </c>
      <c r="F225" s="71">
        <f t="shared" si="113"/>
        <v>22.586000000000002</v>
      </c>
      <c r="G225" s="71">
        <f t="shared" si="113"/>
        <v>23.963000000000001</v>
      </c>
      <c r="H225" s="71">
        <f t="shared" si="113"/>
        <v>27.148999999999994</v>
      </c>
      <c r="I225" s="71">
        <f t="shared" si="113"/>
        <v>30.357999999999997</v>
      </c>
      <c r="J225" s="128">
        <f t="shared" si="113"/>
        <v>28.881</v>
      </c>
      <c r="K225" s="128">
        <f t="shared" si="113"/>
        <v>27.742999999999999</v>
      </c>
      <c r="L225" s="128">
        <f t="shared" si="113"/>
        <v>26.871000000000006</v>
      </c>
      <c r="M225" s="128">
        <f t="shared" si="113"/>
        <v>26.02399999999999</v>
      </c>
      <c r="N225" s="128">
        <f t="shared" si="113"/>
        <v>25.889000000000003</v>
      </c>
      <c r="O225" s="75">
        <f t="shared" ca="1" si="113"/>
        <v>25.95994897735833</v>
      </c>
      <c r="P225" s="75">
        <f t="shared" ca="1" si="113"/>
        <v>26.026206281430845</v>
      </c>
      <c r="Q225" s="75">
        <f t="shared" ca="1" si="113"/>
        <v>26.074066255562105</v>
      </c>
      <c r="R225" s="75">
        <f t="shared" ca="1" si="113"/>
        <v>26.110852513145453</v>
      </c>
      <c r="S225" s="75">
        <f t="shared" ca="1" si="113"/>
        <v>26.138749763056047</v>
      </c>
      <c r="T225" s="75">
        <f t="shared" ca="1" si="113"/>
        <v>26.16611497753815</v>
      </c>
      <c r="U225" s="75">
        <f t="shared" ca="1" si="113"/>
        <v>26.204392593197738</v>
      </c>
      <c r="V225" s="75">
        <f t="shared" ca="1" si="113"/>
        <v>26.254746878806067</v>
      </c>
      <c r="W225" s="75">
        <f t="shared" ca="1" si="113"/>
        <v>26.321429673105619</v>
      </c>
      <c r="X225" s="75">
        <f t="shared" ca="1" si="113"/>
        <v>26.401497604990123</v>
      </c>
    </row>
    <row r="226" spans="1:24" x14ac:dyDescent="0.2">
      <c r="A226" s="158" t="s">
        <v>661</v>
      </c>
      <c r="B226" s="226"/>
      <c r="C226" s="69"/>
      <c r="D226" s="174">
        <f>SUM(Data!C$206,Data!C$207)</f>
        <v>17.396000000000001</v>
      </c>
      <c r="E226" s="174">
        <f>SUM(Data!D$206,Data!D$207)</f>
        <v>20.471</v>
      </c>
      <c r="F226" s="174">
        <f>SUM(Data!E$206,Data!E$207)</f>
        <v>26.533000000000001</v>
      </c>
      <c r="G226" s="174">
        <f>SUM(Data!F$206,Data!F$207)</f>
        <v>27.085000000000001</v>
      </c>
      <c r="H226" s="174">
        <f>SUM(Data!G$206,Data!G$207)</f>
        <v>37.509</v>
      </c>
      <c r="I226" s="174">
        <f>SUM(Data!H$206,Data!H$207)</f>
        <v>39.524999999999999</v>
      </c>
      <c r="J226" s="153">
        <f>SUM(Data!I$206,Data!I$207)</f>
        <v>37.881</v>
      </c>
      <c r="K226" s="153">
        <f>SUM(Data!J$206,Data!J$207)</f>
        <v>35.165999999999997</v>
      </c>
      <c r="L226" s="153">
        <f>SUM(Data!K$206,Data!K$207)</f>
        <v>33.167999999999999</v>
      </c>
      <c r="M226" s="153">
        <f>SUM(Data!L$206,Data!L$207)</f>
        <v>32.896999999999998</v>
      </c>
      <c r="N226" s="153">
        <f>SUM(Data!M$206,Data!M$207)</f>
        <v>33.782999999999994</v>
      </c>
      <c r="O226" s="98">
        <f t="shared" ref="O226:X226" ca="1" si="114">N$226*(1+O$245)</f>
        <v>35.29893843614115</v>
      </c>
      <c r="P226" s="98">
        <f t="shared" ca="1" si="114"/>
        <v>36.887057219509543</v>
      </c>
      <c r="Q226" s="98">
        <f t="shared" ca="1" si="114"/>
        <v>38.589147993368577</v>
      </c>
      <c r="R226" s="98">
        <f t="shared" ca="1" si="114"/>
        <v>40.374513539481136</v>
      </c>
      <c r="S226" s="98">
        <f t="shared" ca="1" si="114"/>
        <v>42.231151183136625</v>
      </c>
      <c r="T226" s="98">
        <f t="shared" ca="1" si="114"/>
        <v>44.13785692734119</v>
      </c>
      <c r="U226" s="98">
        <f t="shared" ca="1" si="114"/>
        <v>46.099063833062672</v>
      </c>
      <c r="V226" s="98">
        <f t="shared" ca="1" si="114"/>
        <v>48.135909749461518</v>
      </c>
      <c r="W226" s="98">
        <f t="shared" ca="1" si="114"/>
        <v>50.236257391834243</v>
      </c>
      <c r="X226" s="98">
        <f t="shared" ca="1" si="114"/>
        <v>52.395841747928934</v>
      </c>
    </row>
    <row r="227" spans="1:24" x14ac:dyDescent="0.2">
      <c r="A227" s="158" t="s">
        <v>662</v>
      </c>
      <c r="B227" s="226"/>
      <c r="C227" s="69"/>
      <c r="D227" s="173">
        <f>SUM(Data!C$71:C$73,Data!C$75:C$77)-SUM(D$225,D$226)</f>
        <v>5.6970000000000098</v>
      </c>
      <c r="E227" s="173">
        <f>SUM(Data!D$71:D$73,Data!D$75:D$77)-SUM(E$225,E$226)</f>
        <v>6.8769999999999953</v>
      </c>
      <c r="F227" s="173">
        <f>SUM(Data!E$71:E$73,Data!E$75:E$77)-SUM(F$225,F$226)</f>
        <v>6.5640000000000001</v>
      </c>
      <c r="G227" s="173">
        <f>SUM(Data!F$71:F$73,Data!F$75:F$77)-SUM(G$225,G$226)</f>
        <v>7.5859999999999985</v>
      </c>
      <c r="H227" s="173">
        <f>SUM(Data!G$71:G$73,Data!G$75:G$77)-SUM(H$225,H$226)</f>
        <v>9.4250000000000114</v>
      </c>
      <c r="I227" s="173">
        <f>SUM(Data!H$71:H$73,Data!H$75:H$77)-SUM(I$225,I$226)</f>
        <v>10.121000000000009</v>
      </c>
      <c r="J227" s="127">
        <f>SUM(Data!I$71:I$73,Data!I$75:I$77)-SUM(J$225,J$226)</f>
        <v>9.8730000000000047</v>
      </c>
      <c r="K227" s="127">
        <f>SUM(Data!J$71:J$73,Data!J$75:J$77)-SUM(K$225,K$226)</f>
        <v>9.8860000000000241</v>
      </c>
      <c r="L227" s="127">
        <f>SUM(Data!K$71:K$73,Data!K$75:K$77)-SUM(L$225,L$226)</f>
        <v>9.7599999999999909</v>
      </c>
      <c r="M227" s="127">
        <f>SUM(Data!L$71:L$73,Data!L$75:L$77)-SUM(M$225,M$226)</f>
        <v>10.292000000000016</v>
      </c>
      <c r="N227" s="127">
        <f>SUM(Data!M$71:M$73,Data!M$75:M$77)-SUM(N$225,N$226)</f>
        <v>10.25200000000001</v>
      </c>
      <c r="O227" s="81">
        <f t="shared" ref="O227:X227" ca="1" si="115">N$227*(1+O$247)</f>
        <v>10.460957231015197</v>
      </c>
      <c r="P227" s="81">
        <f t="shared" ca="1" si="115"/>
        <v>10.670176375635501</v>
      </c>
      <c r="Q227" s="81">
        <f t="shared" ca="1" si="115"/>
        <v>10.883579903148211</v>
      </c>
      <c r="R227" s="81">
        <f t="shared" ca="1" si="115"/>
        <v>11.101251501211175</v>
      </c>
      <c r="S227" s="81">
        <f t="shared" ca="1" si="115"/>
        <v>11.323276531235399</v>
      </c>
      <c r="T227" s="81">
        <f t="shared" ca="1" si="115"/>
        <v>11.549742061860107</v>
      </c>
      <c r="U227" s="81">
        <f t="shared" ca="1" si="115"/>
        <v>11.780736903097308</v>
      </c>
      <c r="V227" s="81">
        <f t="shared" ca="1" si="115"/>
        <v>12.016351641159254</v>
      </c>
      <c r="W227" s="81">
        <f t="shared" ca="1" si="115"/>
        <v>12.256678673982439</v>
      </c>
      <c r="X227" s="81">
        <f t="shared" ca="1" si="115"/>
        <v>12.501812247462087</v>
      </c>
    </row>
    <row r="228" spans="1:24" x14ac:dyDescent="0.2">
      <c r="A228" s="27" t="s">
        <v>180</v>
      </c>
      <c r="B228" s="41"/>
      <c r="C228" s="69"/>
      <c r="D228" s="71">
        <f t="shared" ref="D228:I228" si="116">SUM(D$225:D$227)</f>
        <v>41.624000000000002</v>
      </c>
      <c r="E228" s="71">
        <f t="shared" si="116"/>
        <v>49.210999999999999</v>
      </c>
      <c r="F228" s="71">
        <f t="shared" si="116"/>
        <v>55.683</v>
      </c>
      <c r="G228" s="71">
        <f t="shared" si="116"/>
        <v>58.634</v>
      </c>
      <c r="H228" s="71">
        <f t="shared" si="116"/>
        <v>74.082999999999998</v>
      </c>
      <c r="I228" s="71">
        <f t="shared" si="116"/>
        <v>80.004000000000005</v>
      </c>
      <c r="J228" s="128">
        <f t="shared" ref="J228:X228" si="117">SUM(J$225:J$227)</f>
        <v>76.635000000000005</v>
      </c>
      <c r="K228" s="128">
        <f t="shared" si="117"/>
        <v>72.795000000000016</v>
      </c>
      <c r="L228" s="128">
        <f t="shared" si="117"/>
        <v>69.798999999999992</v>
      </c>
      <c r="M228" s="128">
        <f t="shared" si="117"/>
        <v>69.213000000000008</v>
      </c>
      <c r="N228" s="128">
        <f t="shared" si="117"/>
        <v>69.924000000000007</v>
      </c>
      <c r="O228" s="75">
        <f t="shared" ca="1" si="117"/>
        <v>71.71984464451468</v>
      </c>
      <c r="P228" s="75">
        <f t="shared" ca="1" si="117"/>
        <v>73.583439876575895</v>
      </c>
      <c r="Q228" s="75">
        <f t="shared" ca="1" si="117"/>
        <v>75.546794152078903</v>
      </c>
      <c r="R228" s="75">
        <f t="shared" ca="1" si="117"/>
        <v>77.586617553837769</v>
      </c>
      <c r="S228" s="75">
        <f t="shared" ca="1" si="117"/>
        <v>79.693177477428065</v>
      </c>
      <c r="T228" s="75">
        <f t="shared" ca="1" si="117"/>
        <v>81.853713966739448</v>
      </c>
      <c r="U228" s="75">
        <f t="shared" ca="1" si="117"/>
        <v>84.084193329357717</v>
      </c>
      <c r="V228" s="75">
        <f t="shared" ca="1" si="117"/>
        <v>86.407008269426825</v>
      </c>
      <c r="W228" s="75">
        <f t="shared" ca="1" si="117"/>
        <v>88.814365738922305</v>
      </c>
      <c r="X228" s="75">
        <f t="shared" ca="1" si="117"/>
        <v>91.299151600381137</v>
      </c>
    </row>
    <row r="229" spans="1:24" x14ac:dyDescent="0.2">
      <c r="A229" s="27"/>
      <c r="B229" s="41"/>
      <c r="C229" s="69"/>
      <c r="D229" s="71"/>
      <c r="E229" s="71"/>
      <c r="F229" s="71"/>
      <c r="G229" s="128"/>
      <c r="H229" s="128"/>
      <c r="I229" s="128"/>
      <c r="J229" s="128"/>
      <c r="K229" s="128"/>
      <c r="L229" s="128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</row>
    <row r="230" spans="1:24" x14ac:dyDescent="0.2">
      <c r="A230" s="106" t="s">
        <v>663</v>
      </c>
      <c r="B230" s="41"/>
      <c r="C230" s="74"/>
      <c r="D230" s="72"/>
      <c r="E230" s="72"/>
      <c r="F230" s="72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 s="27" t="s">
        <v>340</v>
      </c>
      <c r="B231" s="226"/>
      <c r="C231" s="74"/>
      <c r="D231" s="71">
        <f>Data!C$83</f>
        <v>10.734999999999999</v>
      </c>
      <c r="E231" s="71">
        <f>Data!D$83</f>
        <v>12.917999999999999</v>
      </c>
      <c r="F231" s="71">
        <f>Data!E$83</f>
        <v>17.504999999999999</v>
      </c>
      <c r="G231" s="71">
        <f>Data!F$83</f>
        <v>19.716000000000001</v>
      </c>
      <c r="H231" s="71">
        <f>Data!G$83</f>
        <v>22.48</v>
      </c>
      <c r="I231" s="71">
        <f>Data!H$83</f>
        <v>24.832999999999998</v>
      </c>
      <c r="J231" s="128">
        <f>Data!I$83</f>
        <v>25.856000000000002</v>
      </c>
      <c r="K231" s="128">
        <f>Data!J$83</f>
        <v>27.620999999999999</v>
      </c>
      <c r="L231" s="128">
        <f>Data!K$83</f>
        <v>29.565000000000001</v>
      </c>
      <c r="M231" s="128">
        <f>Data!L$83</f>
        <v>31.614000000000001</v>
      </c>
      <c r="N231" s="128">
        <f>Data!M$83</f>
        <v>34.292999999999999</v>
      </c>
      <c r="O231" s="75">
        <f t="shared" ref="O231:X231" ca="1" si="118">N$231*(1+O$245)</f>
        <v>35.831823573708334</v>
      </c>
      <c r="P231" s="75">
        <f t="shared" ca="1" si="118"/>
        <v>37.443917154445757</v>
      </c>
      <c r="Q231" s="75">
        <f t="shared" ca="1" si="118"/>
        <v>39.171703286759282</v>
      </c>
      <c r="R231" s="75">
        <f t="shared" ca="1" si="118"/>
        <v>40.984021336454042</v>
      </c>
      <c r="S231" s="75">
        <f t="shared" ca="1" si="118"/>
        <v>42.868687432238239</v>
      </c>
      <c r="T231" s="75">
        <f t="shared" ca="1" si="118"/>
        <v>44.804177474153029</v>
      </c>
      <c r="U231" s="75">
        <f t="shared" ca="1" si="118"/>
        <v>46.79499144620722</v>
      </c>
      <c r="V231" s="75">
        <f t="shared" ca="1" si="118"/>
        <v>48.862586301935416</v>
      </c>
      <c r="W231" s="75">
        <f t="shared" ca="1" si="118"/>
        <v>50.994641527933346</v>
      </c>
      <c r="X231" s="75">
        <f t="shared" ca="1" si="118"/>
        <v>53.186827725830369</v>
      </c>
    </row>
    <row r="232" spans="1:24" x14ac:dyDescent="0.2">
      <c r="A232" s="27" t="s">
        <v>339</v>
      </c>
      <c r="B232" s="226"/>
      <c r="C232" s="74"/>
      <c r="D232" s="71">
        <f>Data!C$82</f>
        <v>31.163</v>
      </c>
      <c r="E232" s="71">
        <f>Data!D$82</f>
        <v>33.192</v>
      </c>
      <c r="F232" s="71">
        <f>Data!E$82</f>
        <v>44.448</v>
      </c>
      <c r="G232" s="71">
        <f>Data!F$82</f>
        <v>50.017000000000003</v>
      </c>
      <c r="H232" s="71">
        <f>Data!G$82</f>
        <v>67.765000000000001</v>
      </c>
      <c r="I232" s="71">
        <f>Data!H$82</f>
        <v>75.700999999999993</v>
      </c>
      <c r="J232" s="128">
        <f>Data!I$82</f>
        <v>74.924000000000007</v>
      </c>
      <c r="K232" s="128">
        <f>Data!J$82</f>
        <v>84.58</v>
      </c>
      <c r="L232" s="128">
        <f>Data!K$82</f>
        <v>80.111999999999995</v>
      </c>
      <c r="M232" s="128">
        <f>Data!L$82</f>
        <v>83.614000000000004</v>
      </c>
      <c r="N232" s="128">
        <f>Data!M$82</f>
        <v>88.828999999999994</v>
      </c>
      <c r="O232" s="73">
        <f ca="1">N$232*IF(N$234&lt;=0,OFFSET(Scenarios!$A$49,0,$C$1),O$234/N$234)</f>
        <v>87.355603794612762</v>
      </c>
      <c r="P232" s="73">
        <f ca="1">O$232*IF(O$234&lt;=0,OFFSET(Scenarios!$A$49,0,$C$1),P$234/O$234)</f>
        <v>84.130066834883735</v>
      </c>
      <c r="Q232" s="73">
        <f ca="1">P$232*IF(P$234&lt;=0,OFFSET(Scenarios!$A$49,0,$C$1),Q$234/P$234)</f>
        <v>79.077186204509857</v>
      </c>
      <c r="R232" s="73">
        <f ca="1">Q$232*IF(Q$234&lt;=0,OFFSET(Scenarios!$A$49,0,$C$1),R$234/Q$234)</f>
        <v>73.740235837551438</v>
      </c>
      <c r="S232" s="73">
        <f ca="1">R$232*IF(R$234&lt;=0,OFFSET(Scenarios!$A$49,0,$C$1),S$234/R$234)</f>
        <v>66.835829529030036</v>
      </c>
      <c r="T232" s="73">
        <f ca="1">S$232*IF(S$234&lt;=0,OFFSET(Scenarios!$A$49,0,$C$1),T$234/S$234)</f>
        <v>58.122537946408961</v>
      </c>
      <c r="U232" s="73">
        <f ca="1">T$232*IF(T$234&lt;=0,OFFSET(Scenarios!$A$49,0,$C$1),U$234/T$234)</f>
        <v>47.454736349394238</v>
      </c>
      <c r="V232" s="73">
        <f ca="1">U$232*IF(U$234&lt;=0,OFFSET(Scenarios!$A$49,0,$C$1),V$234/U$234)</f>
        <v>34.628910717226958</v>
      </c>
      <c r="W232" s="73">
        <f ca="1">V$232*IF(V$234&lt;=0,OFFSET(Scenarios!$A$49,0,$C$1),W$234/V$234)</f>
        <v>19.478108054664606</v>
      </c>
      <c r="X232" s="73">
        <f ca="1">W$232*IF(W$234&lt;=0,OFFSET(Scenarios!$A$49,0,$C$1),X$234/W$234)</f>
        <v>1.7824281122425611</v>
      </c>
    </row>
    <row r="233" spans="1:24" x14ac:dyDescent="0.2">
      <c r="A233" s="158" t="s">
        <v>398</v>
      </c>
      <c r="C233" s="74"/>
      <c r="D233" s="173">
        <f t="shared" ref="D233:X233" si="119">D$234-D$232</f>
        <v>4.7290000000000028</v>
      </c>
      <c r="E233" s="173">
        <f t="shared" si="119"/>
        <v>4.1439999999999984</v>
      </c>
      <c r="F233" s="173">
        <f t="shared" si="119"/>
        <v>6.0970000000000013</v>
      </c>
      <c r="G233" s="173">
        <f t="shared" si="119"/>
        <v>8.5659999999999954</v>
      </c>
      <c r="H233" s="173">
        <f t="shared" si="119"/>
        <v>9.1200000000000045</v>
      </c>
      <c r="I233" s="173">
        <f t="shared" si="119"/>
        <v>8.9790000000000134</v>
      </c>
      <c r="J233" s="127">
        <f t="shared" si="119"/>
        <v>10.385999999999996</v>
      </c>
      <c r="K233" s="127">
        <f t="shared" si="119"/>
        <v>9.9240000000000066</v>
      </c>
      <c r="L233" s="127">
        <f t="shared" si="119"/>
        <v>9.9770000000000039</v>
      </c>
      <c r="M233" s="127">
        <f t="shared" si="119"/>
        <v>10.969999999999999</v>
      </c>
      <c r="N233" s="127">
        <f t="shared" si="119"/>
        <v>12.248000000000005</v>
      </c>
      <c r="O233" s="81">
        <f t="shared" ca="1" si="119"/>
        <v>12.044843860410651</v>
      </c>
      <c r="P233" s="81">
        <f t="shared" ca="1" si="119"/>
        <v>11.600097474852319</v>
      </c>
      <c r="Q233" s="81">
        <f t="shared" ca="1" si="119"/>
        <v>10.903391647241747</v>
      </c>
      <c r="R233" s="81">
        <f t="shared" ca="1" si="119"/>
        <v>10.167517460945533</v>
      </c>
      <c r="S233" s="81">
        <f t="shared" ca="1" si="119"/>
        <v>9.2155179059942185</v>
      </c>
      <c r="T233" s="81">
        <f t="shared" ca="1" si="119"/>
        <v>8.0141040062098838</v>
      </c>
      <c r="U233" s="81">
        <f t="shared" ca="1" si="119"/>
        <v>6.5431966002924824</v>
      </c>
      <c r="V233" s="81">
        <f t="shared" ca="1" si="119"/>
        <v>4.7747345851534533</v>
      </c>
      <c r="W233" s="81">
        <f t="shared" ca="1" si="119"/>
        <v>2.6856979978783073</v>
      </c>
      <c r="X233" s="81">
        <f t="shared" ca="1" si="119"/>
        <v>0.24576635466735985</v>
      </c>
    </row>
    <row r="234" spans="1:24" x14ac:dyDescent="0.2">
      <c r="A234" s="27" t="s">
        <v>399</v>
      </c>
      <c r="B234" s="226"/>
      <c r="C234" s="74"/>
      <c r="D234" s="71">
        <f>Data!C$85</f>
        <v>35.892000000000003</v>
      </c>
      <c r="E234" s="71">
        <f>Data!D$85</f>
        <v>37.335999999999999</v>
      </c>
      <c r="F234" s="71">
        <f>Data!E$85</f>
        <v>50.545000000000002</v>
      </c>
      <c r="G234" s="71">
        <f>Data!F$85</f>
        <v>58.582999999999998</v>
      </c>
      <c r="H234" s="71">
        <f>Data!G$85</f>
        <v>76.885000000000005</v>
      </c>
      <c r="I234" s="71">
        <f>Data!H$85</f>
        <v>84.68</v>
      </c>
      <c r="J234" s="128">
        <f>Data!I$85</f>
        <v>85.31</v>
      </c>
      <c r="K234" s="128">
        <f>Data!J$85</f>
        <v>94.504000000000005</v>
      </c>
      <c r="L234" s="128">
        <f>Data!K$85</f>
        <v>90.088999999999999</v>
      </c>
      <c r="M234" s="128">
        <f>Data!L$85</f>
        <v>94.584000000000003</v>
      </c>
      <c r="N234" s="128">
        <f>Data!M$85</f>
        <v>101.077</v>
      </c>
      <c r="O234" s="105">
        <f ca="1">MAX(IF(OFFSET(Scenarios!$A$46,0,$C$1)&gt;0,OFFSET(Scenarios!$A$46,0,$C$1)*O$244,0),O$237)</f>
        <v>99.400447655023413</v>
      </c>
      <c r="P234" s="105">
        <f ca="1">MAX(IF(OFFSET(Scenarios!$A$46,0,$C$1)&gt;0,OFFSET(Scenarios!$A$46,0,$C$1)*P$244,0),P$237)</f>
        <v>95.730164309736054</v>
      </c>
      <c r="Q234" s="105">
        <f ca="1">MAX(IF(OFFSET(Scenarios!$A$46,0,$C$1)&gt;0,OFFSET(Scenarios!$A$46,0,$C$1)*Q$244,0),Q$237)</f>
        <v>89.980577851751605</v>
      </c>
      <c r="R234" s="105">
        <f ca="1">MAX(IF(OFFSET(Scenarios!$A$46,0,$C$1)&gt;0,OFFSET(Scenarios!$A$46,0,$C$1)*R$244,0),R$237)</f>
        <v>83.907753298496971</v>
      </c>
      <c r="S234" s="105">
        <f ca="1">MAX(IF(OFFSET(Scenarios!$A$46,0,$C$1)&gt;0,OFFSET(Scenarios!$A$46,0,$C$1)*S$244,0),S$237)</f>
        <v>76.051347435024255</v>
      </c>
      <c r="T234" s="105">
        <f ca="1">MAX(IF(OFFSET(Scenarios!$A$46,0,$C$1)&gt;0,OFFSET(Scenarios!$A$46,0,$C$1)*T$244,0),T$237)</f>
        <v>66.136641952618845</v>
      </c>
      <c r="U234" s="105">
        <f ca="1">MAX(IF(OFFSET(Scenarios!$A$46,0,$C$1)&gt;0,OFFSET(Scenarios!$A$46,0,$C$1)*U$244,0),U$237)</f>
        <v>53.997932949686721</v>
      </c>
      <c r="V234" s="105">
        <f ca="1">MAX(IF(OFFSET(Scenarios!$A$46,0,$C$1)&gt;0,OFFSET(Scenarios!$A$46,0,$C$1)*V$244,0),V$237)</f>
        <v>39.403645302380411</v>
      </c>
      <c r="W234" s="105">
        <f ca="1">MAX(IF(OFFSET(Scenarios!$A$46,0,$C$1)&gt;0,OFFSET(Scenarios!$A$46,0,$C$1)*W$244,0),W$237)</f>
        <v>22.163806052542913</v>
      </c>
      <c r="X234" s="105">
        <f ca="1">MAX(IF(OFFSET(Scenarios!$A$46,0,$C$1)&gt;0,OFFSET(Scenarios!$A$46,0,$C$1)*X$244,0),X$237)</f>
        <v>2.028194466909921</v>
      </c>
    </row>
    <row r="235" spans="1:24" x14ac:dyDescent="0.2">
      <c r="A235" s="158" t="s">
        <v>638</v>
      </c>
      <c r="B235" s="226"/>
      <c r="C235" s="74"/>
      <c r="D235" s="173">
        <f>Data!C$86</f>
        <v>0.91300000000000003</v>
      </c>
      <c r="E235" s="173">
        <f>Data!D$86</f>
        <v>0.40899999999999997</v>
      </c>
      <c r="F235" s="173">
        <f>Data!E$86</f>
        <v>0.42799999999999999</v>
      </c>
      <c r="G235" s="173">
        <f>Data!F$86</f>
        <v>0.308</v>
      </c>
      <c r="H235" s="173">
        <f>Data!G$86</f>
        <v>0.40500000000000003</v>
      </c>
      <c r="I235" s="173">
        <f>Data!H$86</f>
        <v>-0.51200000000000001</v>
      </c>
      <c r="J235" s="127">
        <f>Data!I$86</f>
        <v>-0.88300000000000001</v>
      </c>
      <c r="K235" s="127">
        <f>Data!J$86</f>
        <v>-1.0269999999999999</v>
      </c>
      <c r="L235" s="127">
        <f>Data!K$86</f>
        <v>-1.141</v>
      </c>
      <c r="M235" s="127">
        <f>Data!L$86</f>
        <v>-1.288</v>
      </c>
      <c r="N235" s="127">
        <f>Data!M$86</f>
        <v>-1.341</v>
      </c>
      <c r="O235" s="269">
        <f t="shared" ref="O235:X235" si="120">IF(O$2="Proj Yr1",0,N$235)</f>
        <v>0</v>
      </c>
      <c r="P235" s="269">
        <f t="shared" si="120"/>
        <v>0</v>
      </c>
      <c r="Q235" s="269">
        <f t="shared" si="120"/>
        <v>0</v>
      </c>
      <c r="R235" s="269">
        <f t="shared" si="120"/>
        <v>0</v>
      </c>
      <c r="S235" s="269">
        <f t="shared" si="120"/>
        <v>0</v>
      </c>
      <c r="T235" s="269">
        <f t="shared" si="120"/>
        <v>0</v>
      </c>
      <c r="U235" s="269">
        <f t="shared" si="120"/>
        <v>0</v>
      </c>
      <c r="V235" s="269">
        <f t="shared" si="120"/>
        <v>0</v>
      </c>
      <c r="W235" s="269">
        <f t="shared" si="120"/>
        <v>0</v>
      </c>
      <c r="X235" s="269">
        <f t="shared" si="120"/>
        <v>0</v>
      </c>
    </row>
    <row r="236" spans="1:24" x14ac:dyDescent="0.2">
      <c r="A236" s="27" t="s">
        <v>400</v>
      </c>
      <c r="C236" s="74"/>
      <c r="D236" s="71">
        <f t="shared" ref="D236:X236" si="121">SUM(D$234,D$235)</f>
        <v>36.805</v>
      </c>
      <c r="E236" s="71">
        <f t="shared" si="121"/>
        <v>37.744999999999997</v>
      </c>
      <c r="F236" s="71">
        <f t="shared" si="121"/>
        <v>50.972999999999999</v>
      </c>
      <c r="G236" s="71">
        <f t="shared" si="121"/>
        <v>58.890999999999998</v>
      </c>
      <c r="H236" s="71">
        <f t="shared" si="121"/>
        <v>77.290000000000006</v>
      </c>
      <c r="I236" s="71">
        <f t="shared" si="121"/>
        <v>84.168000000000006</v>
      </c>
      <c r="J236" s="128">
        <f t="shared" si="121"/>
        <v>84.427000000000007</v>
      </c>
      <c r="K236" s="128">
        <f t="shared" si="121"/>
        <v>93.477000000000004</v>
      </c>
      <c r="L236" s="128">
        <f t="shared" si="121"/>
        <v>88.947999999999993</v>
      </c>
      <c r="M236" s="128">
        <f t="shared" si="121"/>
        <v>93.296000000000006</v>
      </c>
      <c r="N236" s="128">
        <f t="shared" si="121"/>
        <v>99.736000000000004</v>
      </c>
      <c r="O236" s="75">
        <f t="shared" ca="1" si="121"/>
        <v>99.400447655023413</v>
      </c>
      <c r="P236" s="75">
        <f t="shared" ca="1" si="121"/>
        <v>95.730164309736054</v>
      </c>
      <c r="Q236" s="75">
        <f t="shared" ca="1" si="121"/>
        <v>89.980577851751605</v>
      </c>
      <c r="R236" s="75">
        <f t="shared" ca="1" si="121"/>
        <v>83.907753298496971</v>
      </c>
      <c r="S236" s="75">
        <f t="shared" ca="1" si="121"/>
        <v>76.051347435024255</v>
      </c>
      <c r="T236" s="75">
        <f t="shared" ca="1" si="121"/>
        <v>66.136641952618845</v>
      </c>
      <c r="U236" s="75">
        <f t="shared" ca="1" si="121"/>
        <v>53.997932949686721</v>
      </c>
      <c r="V236" s="75">
        <f t="shared" ca="1" si="121"/>
        <v>39.403645302380411</v>
      </c>
      <c r="W236" s="75">
        <f t="shared" ca="1" si="121"/>
        <v>22.163806052542913</v>
      </c>
      <c r="X236" s="75">
        <f t="shared" ca="1" si="121"/>
        <v>2.028194466909921</v>
      </c>
    </row>
    <row r="237" spans="1:24" ht="13.5" x14ac:dyDescent="0.25">
      <c r="A237" s="413" t="s">
        <v>1052</v>
      </c>
      <c r="C237" s="74"/>
      <c r="D237" s="69">
        <f t="shared" ref="D237:N237" si="122">D$234</f>
        <v>35.892000000000003</v>
      </c>
      <c r="E237" s="69">
        <f t="shared" si="122"/>
        <v>37.335999999999999</v>
      </c>
      <c r="F237" s="69">
        <f t="shared" si="122"/>
        <v>50.545000000000002</v>
      </c>
      <c r="G237" s="69">
        <f t="shared" si="122"/>
        <v>58.582999999999998</v>
      </c>
      <c r="H237" s="69">
        <f t="shared" si="122"/>
        <v>76.885000000000005</v>
      </c>
      <c r="I237" s="69">
        <f t="shared" si="122"/>
        <v>84.68</v>
      </c>
      <c r="J237" s="414">
        <f t="shared" si="122"/>
        <v>85.31</v>
      </c>
      <c r="K237" s="414">
        <f t="shared" si="122"/>
        <v>94.504000000000005</v>
      </c>
      <c r="L237" s="414">
        <f t="shared" si="122"/>
        <v>90.088999999999999</v>
      </c>
      <c r="M237" s="414">
        <f t="shared" si="122"/>
        <v>94.584000000000003</v>
      </c>
      <c r="N237" s="414">
        <f t="shared" si="122"/>
        <v>101.077</v>
      </c>
      <c r="O237" s="98">
        <f ca="1">N$237+(O$34-N$34)-(O$36-N$36)-O$24 + IF(AND(OFFSET(Scenarios!$A$37,0,$C$1)="Yes",O$4&gt;=OFFSET(Scenarios!$A$38,0,$C$1),O$4&lt;=OFFSET(Scenarios!$A$39,0,$C$1)),OFFSET(Scenarios!$A$40,0,$C$1)*(1+OFFSET(Scenarios!$A$41,0,$C$1))^MAX(0,O$4-OFFSET(Scenarios!$A$38,0,$C$1)),0)</f>
        <v>99.400447655023413</v>
      </c>
      <c r="P237" s="98">
        <f ca="1">O$237+(P$34-O$34)-(P$36-O$36)-P$24 + IF(AND(OFFSET(Scenarios!$A$37,0,$C$1)="Yes",P$4&gt;=OFFSET(Scenarios!$A$38,0,$C$1),P$4&lt;=OFFSET(Scenarios!$A$39,0,$C$1)),OFFSET(Scenarios!$A$40,0,$C$1)*(1+OFFSET(Scenarios!$A$41,0,$C$1))^MAX(0,P$4-OFFSET(Scenarios!$A$38,0,$C$1)),0)</f>
        <v>95.730164309736054</v>
      </c>
      <c r="Q237" s="98">
        <f ca="1">P$237+(Q$34-P$34)-(Q$36-P$36)-Q$24 + IF(AND(OFFSET(Scenarios!$A$37,0,$C$1)="Yes",Q$4&gt;=OFFSET(Scenarios!$A$38,0,$C$1),Q$4&lt;=OFFSET(Scenarios!$A$39,0,$C$1)),OFFSET(Scenarios!$A$40,0,$C$1)*(1+OFFSET(Scenarios!$A$41,0,$C$1))^MAX(0,Q$4-OFFSET(Scenarios!$A$38,0,$C$1)),0)</f>
        <v>89.980577851751605</v>
      </c>
      <c r="R237" s="98">
        <f ca="1">Q$237+(R$34-Q$34)-(R$36-Q$36)-R$24 + IF(AND(OFFSET(Scenarios!$A$37,0,$C$1)="Yes",R$4&gt;=OFFSET(Scenarios!$A$38,0,$C$1),R$4&lt;=OFFSET(Scenarios!$A$39,0,$C$1)),OFFSET(Scenarios!$A$40,0,$C$1)*(1+OFFSET(Scenarios!$A$41,0,$C$1))^MAX(0,R$4-OFFSET(Scenarios!$A$38,0,$C$1)),0)</f>
        <v>83.907753298496971</v>
      </c>
      <c r="S237" s="98">
        <f ca="1">R$237+(S$34-R$34)-(S$36-R$36)-S$24 + IF(AND(OFFSET(Scenarios!$A$37,0,$C$1)="Yes",S$4&gt;=OFFSET(Scenarios!$A$38,0,$C$1),S$4&lt;=OFFSET(Scenarios!$A$39,0,$C$1)),OFFSET(Scenarios!$A$40,0,$C$1)*(1+OFFSET(Scenarios!$A$41,0,$C$1))^MAX(0,S$4-OFFSET(Scenarios!$A$38,0,$C$1)),0)</f>
        <v>76.051347435024255</v>
      </c>
      <c r="T237" s="98">
        <f ca="1">S$237+(T$34-S$34)-(T$36-S$36)-T$24 + IF(AND(OFFSET(Scenarios!$A$37,0,$C$1)="Yes",T$4&gt;=OFFSET(Scenarios!$A$38,0,$C$1),T$4&lt;=OFFSET(Scenarios!$A$39,0,$C$1)),OFFSET(Scenarios!$A$40,0,$C$1)*(1+OFFSET(Scenarios!$A$41,0,$C$1))^MAX(0,T$4-OFFSET(Scenarios!$A$38,0,$C$1)),0)</f>
        <v>66.136641952618845</v>
      </c>
      <c r="U237" s="98">
        <f ca="1">T$237+(U$34-T$34)-(U$36-T$36)-U$24 + IF(AND(OFFSET(Scenarios!$A$37,0,$C$1)="Yes",U$4&gt;=OFFSET(Scenarios!$A$38,0,$C$1),U$4&lt;=OFFSET(Scenarios!$A$39,0,$C$1)),OFFSET(Scenarios!$A$40,0,$C$1)*(1+OFFSET(Scenarios!$A$41,0,$C$1))^MAX(0,U$4-OFFSET(Scenarios!$A$38,0,$C$1)),0)</f>
        <v>53.997932949686721</v>
      </c>
      <c r="V237" s="98">
        <f ca="1">U$237+(V$34-U$34)-(V$36-U$36)-V$24 + IF(AND(OFFSET(Scenarios!$A$37,0,$C$1)="Yes",V$4&gt;=OFFSET(Scenarios!$A$38,0,$C$1),V$4&lt;=OFFSET(Scenarios!$A$39,0,$C$1)),OFFSET(Scenarios!$A$40,0,$C$1)*(1+OFFSET(Scenarios!$A$41,0,$C$1))^MAX(0,V$4-OFFSET(Scenarios!$A$38,0,$C$1)),0)</f>
        <v>39.403645302380411</v>
      </c>
      <c r="W237" s="98">
        <f ca="1">V$237+(W$34-V$34)-(W$36-V$36)-W$24 + IF(AND(OFFSET(Scenarios!$A$37,0,$C$1)="Yes",W$4&gt;=OFFSET(Scenarios!$A$38,0,$C$1),W$4&lt;=OFFSET(Scenarios!$A$39,0,$C$1)),OFFSET(Scenarios!$A$40,0,$C$1)*(1+OFFSET(Scenarios!$A$41,0,$C$1))^MAX(0,W$4-OFFSET(Scenarios!$A$38,0,$C$1)),0)</f>
        <v>22.163806052542913</v>
      </c>
      <c r="X237" s="98">
        <f ca="1">W$237+(X$34-W$34)-(X$36-W$36)-X$24 + IF(AND(OFFSET(Scenarios!$A$37,0,$C$1)="Yes",X$4&gt;=OFFSET(Scenarios!$A$38,0,$C$1),X$4&lt;=OFFSET(Scenarios!$A$39,0,$C$1)),OFFSET(Scenarios!$A$40,0,$C$1)*(1+OFFSET(Scenarios!$A$41,0,$C$1))^MAX(0,X$4-OFFSET(Scenarios!$A$38,0,$C$1)),0)</f>
        <v>2.028194466909921</v>
      </c>
    </row>
    <row r="238" spans="1:24" x14ac:dyDescent="0.2">
      <c r="A238" s="106" t="s">
        <v>666</v>
      </c>
      <c r="B238" s="226"/>
      <c r="C238" s="74"/>
      <c r="D238" s="69">
        <f>SUM(Data!C$95,-Data!C$96)</f>
        <v>6.1579999999999995</v>
      </c>
      <c r="E238" s="69">
        <f>SUM(Data!D$95,-Data!D$96)</f>
        <v>6.3550000000000004</v>
      </c>
      <c r="F238" s="69">
        <f>SUM(Data!E$95,-Data!E$96)</f>
        <v>7.6170000000000009</v>
      </c>
      <c r="G238" s="69">
        <f>SUM(Data!F$95,-Data!F$96)</f>
        <v>5.3000000000000007</v>
      </c>
      <c r="H238" s="69">
        <f>SUM(Data!G$95,-Data!G$96)</f>
        <v>4.8699999999999992</v>
      </c>
      <c r="I238" s="69">
        <f>SUM(Data!H$95,-Data!H$96)</f>
        <v>4.5329999999999995</v>
      </c>
      <c r="J238" s="103">
        <f>SUM(Data!I$95,-Data!I$96)</f>
        <v>5.7910000000000004</v>
      </c>
      <c r="K238" s="103">
        <f>SUM(Data!J$95,-Data!J$96)</f>
        <v>5.7910000000000004</v>
      </c>
      <c r="L238" s="103">
        <f>SUM(Data!K$95,-Data!K$96)</f>
        <v>5.7910000000000004</v>
      </c>
      <c r="M238" s="103">
        <f>SUM(Data!L$95,-Data!L$96)</f>
        <v>5.7910000000000004</v>
      </c>
      <c r="N238" s="103">
        <f>SUM(Data!M$95,-Data!M$96)</f>
        <v>5.7910000000000004</v>
      </c>
      <c r="O238" s="73">
        <f t="shared" ref="O238:X238" si="123">N$238</f>
        <v>5.7910000000000004</v>
      </c>
      <c r="P238" s="73">
        <f t="shared" si="123"/>
        <v>5.7910000000000004</v>
      </c>
      <c r="Q238" s="73">
        <f t="shared" si="123"/>
        <v>5.7910000000000004</v>
      </c>
      <c r="R238" s="73">
        <f t="shared" si="123"/>
        <v>5.7910000000000004</v>
      </c>
      <c r="S238" s="73">
        <f t="shared" si="123"/>
        <v>5.7910000000000004</v>
      </c>
      <c r="T238" s="73">
        <f t="shared" si="123"/>
        <v>5.7910000000000004</v>
      </c>
      <c r="U238" s="73">
        <f t="shared" si="123"/>
        <v>5.7910000000000004</v>
      </c>
      <c r="V238" s="73">
        <f t="shared" si="123"/>
        <v>5.7910000000000004</v>
      </c>
      <c r="W238" s="73">
        <f t="shared" si="123"/>
        <v>5.7910000000000004</v>
      </c>
      <c r="X238" s="73">
        <f t="shared" si="123"/>
        <v>5.7910000000000004</v>
      </c>
    </row>
    <row r="239" spans="1:24" x14ac:dyDescent="0.2">
      <c r="A239" s="106"/>
      <c r="B239" s="69"/>
      <c r="C239" s="69"/>
      <c r="D239" s="69"/>
      <c r="E239" s="69"/>
      <c r="F239" s="69"/>
      <c r="G239" s="69"/>
      <c r="H239" s="69"/>
      <c r="I239" s="69"/>
      <c r="J239" s="103"/>
      <c r="K239" s="103"/>
      <c r="L239" s="103"/>
      <c r="M239" s="103"/>
      <c r="N239" s="103"/>
    </row>
    <row r="240" spans="1:24" x14ac:dyDescent="0.2">
      <c r="A240" s="106"/>
      <c r="C240" s="74"/>
      <c r="D240" s="72"/>
      <c r="E240" s="72"/>
      <c r="F240" s="72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</row>
    <row r="241" spans="1:24" ht="15.75" x14ac:dyDescent="0.25">
      <c r="A241" s="150" t="s">
        <v>386</v>
      </c>
      <c r="D241" s="160" t="s">
        <v>442</v>
      </c>
      <c r="E241" s="160" t="s">
        <v>443</v>
      </c>
      <c r="F241" s="160" t="s">
        <v>444</v>
      </c>
      <c r="G241" s="160" t="s">
        <v>445</v>
      </c>
      <c r="H241" s="160" t="s">
        <v>446</v>
      </c>
      <c r="I241" s="160" t="s">
        <v>447</v>
      </c>
      <c r="J241" s="137" t="s">
        <v>448</v>
      </c>
      <c r="K241" s="137" t="s">
        <v>449</v>
      </c>
      <c r="L241" s="137" t="s">
        <v>450</v>
      </c>
      <c r="M241" s="137" t="s">
        <v>451</v>
      </c>
      <c r="N241" s="137" t="s">
        <v>452</v>
      </c>
      <c r="O241" s="136" t="s">
        <v>453</v>
      </c>
      <c r="P241" s="136" t="s">
        <v>454</v>
      </c>
      <c r="Q241" s="136" t="s">
        <v>455</v>
      </c>
      <c r="R241" s="136" t="s">
        <v>456</v>
      </c>
      <c r="S241" s="136" t="s">
        <v>457</v>
      </c>
      <c r="T241" s="136" t="s">
        <v>458</v>
      </c>
      <c r="U241" s="136" t="s">
        <v>459</v>
      </c>
      <c r="V241" s="136" t="s">
        <v>460</v>
      </c>
      <c r="W241" s="136" t="s">
        <v>461</v>
      </c>
      <c r="X241" s="136" t="s">
        <v>462</v>
      </c>
    </row>
    <row r="242" spans="1:24" x14ac:dyDescent="0.2">
      <c r="A242" s="27" t="s">
        <v>154</v>
      </c>
      <c r="B242" s="226"/>
      <c r="D242" s="69">
        <f>Data!C$227</f>
        <v>138.547</v>
      </c>
      <c r="E242" s="69">
        <f>Data!D$227</f>
        <v>141.029</v>
      </c>
      <c r="F242" s="69">
        <f>Data!E$227</f>
        <v>137.75800000000001</v>
      </c>
      <c r="G242" s="69">
        <f>Data!F$227</f>
        <v>139.03299999999999</v>
      </c>
      <c r="H242" s="69">
        <f>Data!G$227</f>
        <v>140.298</v>
      </c>
      <c r="I242" s="69">
        <f>Data!H$227</f>
        <v>143.661</v>
      </c>
      <c r="J242" s="123">
        <f>Data!I$227</f>
        <v>147.26900000000001</v>
      </c>
      <c r="K242" s="123">
        <f>Data!J$227</f>
        <v>150.965</v>
      </c>
      <c r="L242" s="123">
        <f>Data!K$227</f>
        <v>155.36500000000001</v>
      </c>
      <c r="M242" s="123">
        <f>Data!L$227</f>
        <v>159.32400000000001</v>
      </c>
      <c r="N242" s="123">
        <f>Data!M$227</f>
        <v>162.82300000000001</v>
      </c>
      <c r="O242" s="98">
        <f ca="1">IF(O$4&lt;=OFFSET(Scenarios!$A$14,0,$C$1),Data!Q$227,N$242*(1+O$259)*(O$251*(1-O$254)*O$257)/(N$251*(1-N$254)*N$257))</f>
        <v>166.73099999999999</v>
      </c>
      <c r="P242" s="98">
        <f ca="1">IF(P$4&lt;=OFFSET(Scenarios!$A$14,0,$C$1),Data!R$227,O$242*(1+P$259)*(P$251*(1-P$254)*P$257)/(O$251*(1-O$254)*O$257))</f>
        <v>170.816</v>
      </c>
      <c r="Q242" s="98">
        <f ca="1">IF(Q$4&lt;=OFFSET(Scenarios!$A$14,0,$C$1),Data!S$227,P$242*(1+Q$259)*(Q$251*(1-Q$254)*Q$257)/(P$251*(1-P$254)*P$257))</f>
        <v>175.19413233480074</v>
      </c>
      <c r="R242" s="98">
        <f ca="1">IF(R$4&lt;=OFFSET(Scenarios!$A$14,0,$C$1),Data!T$227,Q$242*(1+R$259)*(R$251*(1-R$254)*R$257)/(Q$251*(1-Q$254)*Q$257))</f>
        <v>179.70555311287791</v>
      </c>
      <c r="S242" s="98">
        <f ca="1">IF(S$4&lt;=OFFSET(Scenarios!$A$14,0,$C$1),Data!U$227,R$242*(1+S$259)*(S$251*(1-S$254)*S$257)/(R$251*(1-R$254)*R$257))</f>
        <v>184.28370841115802</v>
      </c>
      <c r="T242" s="98">
        <f ca="1">IF(T$4&lt;=OFFSET(Scenarios!$A$14,0,$C$1),Data!V$227,S$242*(1+T$259)*(T$251*(1-T$254)*T$257)/(S$251*(1-S$254)*S$257))</f>
        <v>188.82743504137997</v>
      </c>
      <c r="U242" s="98">
        <f ca="1">IF(U$4&lt;=OFFSET(Scenarios!$A$14,0,$C$1),Data!W$227,T$242*(1+U$259)*(U$251*(1-U$254)*U$257)/(T$251*(1-T$254)*T$257))</f>
        <v>193.3507163777592</v>
      </c>
      <c r="V242" s="98">
        <f ca="1">IF(V$4&lt;=OFFSET(Scenarios!$A$14,0,$C$1),Data!X$227,U$242*(1+V$259)*(V$251*(1-V$254)*V$257)/(U$251*(1-U$254)*U$257))</f>
        <v>197.93504401774433</v>
      </c>
      <c r="W242" s="98">
        <f ca="1">IF(W$4&lt;=OFFSET(Scenarios!$A$14,0,$C$1),Data!Y$227,V$242*(1+W$259)*(W$251*(1-W$254)*W$257)/(V$251*(1-V$254)*V$257))</f>
        <v>202.52125638601046</v>
      </c>
      <c r="X242" s="98">
        <f ca="1">IF(X$4&lt;=OFFSET(Scenarios!$A$14,0,$C$1),Data!Z$227,W$242*(1+X$259)*(X$251*(1-X$254)*X$257)/(W$251*(1-W$254)*W$257))</f>
        <v>207.08564071693715</v>
      </c>
    </row>
    <row r="243" spans="1:24" x14ac:dyDescent="0.2">
      <c r="A243" s="159" t="s">
        <v>136</v>
      </c>
      <c r="D243" s="117"/>
      <c r="E243" s="117">
        <f t="shared" ref="E243:X243" si="124">E$242/D$242-1</f>
        <v>1.791449832908687E-2</v>
      </c>
      <c r="F243" s="117">
        <f t="shared" si="124"/>
        <v>-2.3193811201951298E-2</v>
      </c>
      <c r="G243" s="117">
        <f t="shared" si="124"/>
        <v>9.2553608501864115E-3</v>
      </c>
      <c r="H243" s="117">
        <f t="shared" si="124"/>
        <v>9.0985593348342775E-3</v>
      </c>
      <c r="I243" s="117">
        <f t="shared" si="124"/>
        <v>2.3970405850404219E-2</v>
      </c>
      <c r="J243" s="121">
        <f t="shared" si="124"/>
        <v>2.5114679697343156E-2</v>
      </c>
      <c r="K243" s="121">
        <f t="shared" si="124"/>
        <v>2.5096931465549366E-2</v>
      </c>
      <c r="L243" s="121">
        <f t="shared" si="124"/>
        <v>2.9145828503295501E-2</v>
      </c>
      <c r="M243" s="121">
        <f t="shared" si="124"/>
        <v>2.5481929649534996E-2</v>
      </c>
      <c r="N243" s="121">
        <f t="shared" si="124"/>
        <v>2.1961537495920336E-2</v>
      </c>
      <c r="O243" s="118">
        <f t="shared" ca="1" si="124"/>
        <v>2.4001523126339519E-2</v>
      </c>
      <c r="P243" s="118">
        <f t="shared" ca="1" si="124"/>
        <v>2.4500542790482971E-2</v>
      </c>
      <c r="Q243" s="118">
        <f t="shared" ca="1" si="124"/>
        <v>2.5630692293466373E-2</v>
      </c>
      <c r="R243" s="118">
        <f t="shared" ca="1" si="124"/>
        <v>2.5750981028609621E-2</v>
      </c>
      <c r="S243" s="118">
        <f t="shared" ca="1" si="124"/>
        <v>2.5475869938222928E-2</v>
      </c>
      <c r="T243" s="118">
        <f t="shared" ca="1" si="124"/>
        <v>2.465614931128024E-2</v>
      </c>
      <c r="U243" s="118">
        <f t="shared" ca="1" si="124"/>
        <v>2.395457702101389E-2</v>
      </c>
      <c r="V243" s="118">
        <f t="shared" ca="1" si="124"/>
        <v>2.3709907704859479E-2</v>
      </c>
      <c r="W243" s="118">
        <f t="shared" ca="1" si="124"/>
        <v>2.3170289985915637E-2</v>
      </c>
      <c r="X243" s="118">
        <f t="shared" ca="1" si="124"/>
        <v>2.2537803746520702E-2</v>
      </c>
    </row>
    <row r="244" spans="1:24" x14ac:dyDescent="0.2">
      <c r="A244" s="27" t="s">
        <v>119</v>
      </c>
      <c r="B244" s="226"/>
      <c r="D244" s="69">
        <f>Data!C$228</f>
        <v>173.214</v>
      </c>
      <c r="E244" s="69">
        <f>Data!D$228</f>
        <v>185.678</v>
      </c>
      <c r="F244" s="69">
        <f>Data!E$228</f>
        <v>185.48699999999999</v>
      </c>
      <c r="G244" s="69">
        <f>Data!F$228</f>
        <v>191.798</v>
      </c>
      <c r="H244" s="69">
        <f>Data!G$228</f>
        <v>200.23400000000001</v>
      </c>
      <c r="I244" s="69">
        <f>Data!H$228</f>
        <v>208.46700000000001</v>
      </c>
      <c r="J244" s="123">
        <f>Data!I$228</f>
        <v>213.84399999999999</v>
      </c>
      <c r="K244" s="123">
        <f>Data!J$228</f>
        <v>227.892</v>
      </c>
      <c r="L244" s="123">
        <f>Data!K$228</f>
        <v>237.95400000000001</v>
      </c>
      <c r="M244" s="123">
        <f>Data!L$228</f>
        <v>248.00399999999999</v>
      </c>
      <c r="N244" s="123">
        <f>Data!M$228</f>
        <v>257.21899999999999</v>
      </c>
      <c r="O244" s="73">
        <f t="shared" ref="O244:X244" ca="1" si="125">N$244*(O$242/N$242)*(1+O$247)</f>
        <v>268.76114156841584</v>
      </c>
      <c r="P244" s="73">
        <f t="shared" ca="1" si="125"/>
        <v>280.8528541261885</v>
      </c>
      <c r="Q244" s="73">
        <f t="shared" ca="1" si="125"/>
        <v>293.81233335423946</v>
      </c>
      <c r="R244" s="73">
        <f t="shared" ca="1" si="125"/>
        <v>307.40585495994429</v>
      </c>
      <c r="S244" s="73">
        <f t="shared" ca="1" si="125"/>
        <v>321.54203226993513</v>
      </c>
      <c r="T244" s="73">
        <f t="shared" ca="1" si="125"/>
        <v>336.05942103998382</v>
      </c>
      <c r="U244" s="73">
        <f t="shared" ca="1" si="125"/>
        <v>350.99177397142194</v>
      </c>
      <c r="V244" s="73">
        <f t="shared" ca="1" si="125"/>
        <v>366.50003166819823</v>
      </c>
      <c r="W244" s="73">
        <f t="shared" ca="1" si="125"/>
        <v>382.49178255543359</v>
      </c>
      <c r="X244" s="73">
        <f t="shared" ca="1" si="125"/>
        <v>398.93455343103136</v>
      </c>
    </row>
    <row r="245" spans="1:24" x14ac:dyDescent="0.2">
      <c r="A245" s="159" t="s">
        <v>136</v>
      </c>
      <c r="D245" s="117"/>
      <c r="E245" s="117">
        <f t="shared" ref="E245:X245" si="126">E$244/D$244-1</f>
        <v>7.1957232094403523E-2</v>
      </c>
      <c r="F245" s="117">
        <f t="shared" si="126"/>
        <v>-1.0286625232930335E-3</v>
      </c>
      <c r="G245" s="117">
        <f t="shared" si="126"/>
        <v>3.4023947769924678E-2</v>
      </c>
      <c r="H245" s="117">
        <f t="shared" si="126"/>
        <v>4.398377459618974E-2</v>
      </c>
      <c r="I245" s="117">
        <f t="shared" si="126"/>
        <v>4.1116893234915075E-2</v>
      </c>
      <c r="J245" s="121">
        <f t="shared" si="126"/>
        <v>2.5793051178363946E-2</v>
      </c>
      <c r="K245" s="121">
        <f t="shared" si="126"/>
        <v>6.569274798451219E-2</v>
      </c>
      <c r="L245" s="121">
        <f t="shared" si="126"/>
        <v>4.4152493286293559E-2</v>
      </c>
      <c r="M245" s="121">
        <f t="shared" si="126"/>
        <v>4.2235053833934222E-2</v>
      </c>
      <c r="N245" s="121">
        <f t="shared" si="126"/>
        <v>3.7156658763568329E-2</v>
      </c>
      <c r="O245" s="118">
        <f t="shared" ca="1" si="126"/>
        <v>4.4872818759173372E-2</v>
      </c>
      <c r="P245" s="118">
        <f t="shared" ca="1" si="126"/>
        <v>4.4990553646292675E-2</v>
      </c>
      <c r="Q245" s="118">
        <f t="shared" ca="1" si="126"/>
        <v>4.6143306139335927E-2</v>
      </c>
      <c r="R245" s="118">
        <f t="shared" ca="1" si="126"/>
        <v>4.6266000649181738E-2</v>
      </c>
      <c r="S245" s="118">
        <f t="shared" ca="1" si="126"/>
        <v>4.5985387336987538E-2</v>
      </c>
      <c r="T245" s="118">
        <f t="shared" ca="1" si="126"/>
        <v>4.514927229750576E-2</v>
      </c>
      <c r="U245" s="118">
        <f t="shared" ca="1" si="126"/>
        <v>4.4433668561434159E-2</v>
      </c>
      <c r="V245" s="118">
        <f t="shared" ca="1" si="126"/>
        <v>4.4184105858956713E-2</v>
      </c>
      <c r="W245" s="118">
        <f t="shared" ca="1" si="126"/>
        <v>4.3633695785633808E-2</v>
      </c>
      <c r="X245" s="118">
        <f t="shared" ca="1" si="126"/>
        <v>4.2988559821451222E-2</v>
      </c>
    </row>
    <row r="246" spans="1:24" x14ac:dyDescent="0.2">
      <c r="A246" s="27" t="s">
        <v>120</v>
      </c>
      <c r="B246" s="226"/>
      <c r="D246" s="176">
        <f>Data!C$229</f>
        <v>1020</v>
      </c>
      <c r="E246" s="176">
        <f>Data!D$229</f>
        <v>1061</v>
      </c>
      <c r="F246" s="176">
        <f>Data!E$229</f>
        <v>1081</v>
      </c>
      <c r="G246" s="176">
        <f>Data!F$229</f>
        <v>1099</v>
      </c>
      <c r="H246" s="176">
        <f>Data!G$229</f>
        <v>1157</v>
      </c>
      <c r="I246" s="176">
        <f>Data!H$229</f>
        <v>1168</v>
      </c>
      <c r="J246" s="168">
        <f>Data!I$229</f>
        <v>1180</v>
      </c>
      <c r="K246" s="168">
        <f>Data!J$229</f>
        <v>1202</v>
      </c>
      <c r="L246" s="168">
        <f>Data!K$229</f>
        <v>1224</v>
      </c>
      <c r="M246" s="168">
        <f>Data!L$229</f>
        <v>1251</v>
      </c>
      <c r="N246" s="168">
        <f>Data!M$229</f>
        <v>1279</v>
      </c>
      <c r="O246" s="169">
        <f t="shared" ref="O246:X246" ca="1" si="127">N$246*(1+O$247)</f>
        <v>1305.0686986410869</v>
      </c>
      <c r="P246" s="169">
        <f t="shared" ca="1" si="127"/>
        <v>1331.1700726139088</v>
      </c>
      <c r="Q246" s="169">
        <f t="shared" ca="1" si="127"/>
        <v>1357.7934740661869</v>
      </c>
      <c r="R246" s="169">
        <f t="shared" ca="1" si="127"/>
        <v>1384.9493435475108</v>
      </c>
      <c r="S246" s="169">
        <f t="shared" ca="1" si="127"/>
        <v>1412.648330418461</v>
      </c>
      <c r="T246" s="169">
        <f t="shared" ca="1" si="127"/>
        <v>1440.9012970268302</v>
      </c>
      <c r="U246" s="169">
        <f t="shared" ca="1" si="127"/>
        <v>1469.7193229673669</v>
      </c>
      <c r="V246" s="169">
        <f t="shared" ca="1" si="127"/>
        <v>1499.1137094267142</v>
      </c>
      <c r="W246" s="169">
        <f t="shared" ca="1" si="127"/>
        <v>1529.0959836152485</v>
      </c>
      <c r="X246" s="169">
        <f t="shared" ca="1" si="127"/>
        <v>1559.6779032875536</v>
      </c>
    </row>
    <row r="247" spans="1:24" x14ac:dyDescent="0.2">
      <c r="A247" s="159" t="s">
        <v>136</v>
      </c>
      <c r="D247" s="117"/>
      <c r="E247" s="117">
        <f t="shared" ref="E247:N247" si="128">E$246/D$246-1</f>
        <v>4.0196078431372628E-2</v>
      </c>
      <c r="F247" s="117">
        <f t="shared" si="128"/>
        <v>1.8850141376060225E-2</v>
      </c>
      <c r="G247" s="117">
        <f t="shared" si="128"/>
        <v>1.6651248843663202E-2</v>
      </c>
      <c r="H247" s="117">
        <f t="shared" si="128"/>
        <v>5.277525022747942E-2</v>
      </c>
      <c r="I247" s="117">
        <f t="shared" si="128"/>
        <v>9.5073465859982775E-3</v>
      </c>
      <c r="J247" s="121">
        <f t="shared" si="128"/>
        <v>1.0273972602739656E-2</v>
      </c>
      <c r="K247" s="121">
        <f t="shared" si="128"/>
        <v>1.8644067796610209E-2</v>
      </c>
      <c r="L247" s="121">
        <f t="shared" si="128"/>
        <v>1.830282861896837E-2</v>
      </c>
      <c r="M247" s="121">
        <f t="shared" si="128"/>
        <v>2.2058823529411686E-2</v>
      </c>
      <c r="N247" s="121">
        <f t="shared" si="128"/>
        <v>2.2382094324540303E-2</v>
      </c>
      <c r="O247" s="118">
        <f ca="1">IF(N$247&lt;OFFSET(Scenarios!$A$7,0,$C$1),MIN(N$247+OFFSET(Scenarios!$A$15,0,$C$1),OFFSET(Scenarios!$A$7,0,$C$1)),MAX(N$247-OFFSET(Scenarios!$A$15,0,$C$1),OFFSET(Scenarios!$A$7,0,$C$1)))</f>
        <v>2.0382094324540301E-2</v>
      </c>
      <c r="P247" s="118">
        <f ca="1">IF(O$247&lt;OFFSET(Scenarios!$A$7,0,$C$1),MIN(O$247+OFFSET(Scenarios!$A$15,0,$C$1),OFFSET(Scenarios!$A$7,0,$C$1)),MAX(O$247-OFFSET(Scenarios!$A$15,0,$C$1),OFFSET(Scenarios!$A$7,0,$C$1)))</f>
        <v>0.02</v>
      </c>
      <c r="Q247" s="118">
        <f ca="1">IF(P$247&lt;OFFSET(Scenarios!$A$7,0,$C$1),MIN(P$247+OFFSET(Scenarios!$A$15,0,$C$1),OFFSET(Scenarios!$A$7,0,$C$1)),MAX(P$247-OFFSET(Scenarios!$A$15,0,$C$1),OFFSET(Scenarios!$A$7,0,$C$1)))</f>
        <v>0.02</v>
      </c>
      <c r="R247" s="118">
        <f ca="1">IF(Q$247&lt;OFFSET(Scenarios!$A$7,0,$C$1),MIN(Q$247+OFFSET(Scenarios!$A$15,0,$C$1),OFFSET(Scenarios!$A$7,0,$C$1)),MAX(Q$247-OFFSET(Scenarios!$A$15,0,$C$1),OFFSET(Scenarios!$A$7,0,$C$1)))</f>
        <v>0.02</v>
      </c>
      <c r="S247" s="118">
        <f ca="1">IF(R$247&lt;OFFSET(Scenarios!$A$7,0,$C$1),MIN(R$247+OFFSET(Scenarios!$A$15,0,$C$1),OFFSET(Scenarios!$A$7,0,$C$1)),MAX(R$247-OFFSET(Scenarios!$A$15,0,$C$1),OFFSET(Scenarios!$A$7,0,$C$1)))</f>
        <v>0.02</v>
      </c>
      <c r="T247" s="118">
        <f ca="1">IF(S$247&lt;OFFSET(Scenarios!$A$7,0,$C$1),MIN(S$247+OFFSET(Scenarios!$A$15,0,$C$1),OFFSET(Scenarios!$A$7,0,$C$1)),MAX(S$247-OFFSET(Scenarios!$A$15,0,$C$1),OFFSET(Scenarios!$A$7,0,$C$1)))</f>
        <v>0.02</v>
      </c>
      <c r="U247" s="118">
        <f ca="1">IF(T$247&lt;OFFSET(Scenarios!$A$7,0,$C$1),MIN(T$247+OFFSET(Scenarios!$A$15,0,$C$1),OFFSET(Scenarios!$A$7,0,$C$1)),MAX(T$247-OFFSET(Scenarios!$A$15,0,$C$1),OFFSET(Scenarios!$A$7,0,$C$1)))</f>
        <v>0.02</v>
      </c>
      <c r="V247" s="118">
        <f ca="1">IF(U$247&lt;OFFSET(Scenarios!$A$7,0,$C$1),MIN(U$247+OFFSET(Scenarios!$A$15,0,$C$1),OFFSET(Scenarios!$A$7,0,$C$1)),MAX(U$247-OFFSET(Scenarios!$A$15,0,$C$1),OFFSET(Scenarios!$A$7,0,$C$1)))</f>
        <v>0.02</v>
      </c>
      <c r="W247" s="118">
        <f ca="1">IF(V$247&lt;OFFSET(Scenarios!$A$7,0,$C$1),MIN(V$247+OFFSET(Scenarios!$A$15,0,$C$1),OFFSET(Scenarios!$A$7,0,$C$1)),MAX(V$247-OFFSET(Scenarios!$A$15,0,$C$1),OFFSET(Scenarios!$A$7,0,$C$1)))</f>
        <v>0.02</v>
      </c>
      <c r="X247" s="118">
        <f ca="1">IF(W$247&lt;OFFSET(Scenarios!$A$7,0,$C$1),MIN(W$247+OFFSET(Scenarios!$A$15,0,$C$1),OFFSET(Scenarios!$A$7,0,$C$1)),MAX(W$247-OFFSET(Scenarios!$A$15,0,$C$1),OFFSET(Scenarios!$A$7,0,$C$1)))</f>
        <v>0.02</v>
      </c>
    </row>
    <row r="248" spans="1:24" x14ac:dyDescent="0.2">
      <c r="A248" s="27" t="s">
        <v>714</v>
      </c>
      <c r="B248" s="226"/>
      <c r="D248" s="117">
        <f>Data!C$237</f>
        <v>6.4100000000000004E-2</v>
      </c>
      <c r="E248" s="117">
        <f>Data!D$237</f>
        <v>6.8400000000000002E-2</v>
      </c>
      <c r="F248" s="117">
        <f>Data!E$237</f>
        <v>4.9599999999999998E-2</v>
      </c>
      <c r="G248" s="117">
        <f>Data!F$237</f>
        <v>5.0799999999999998E-2</v>
      </c>
      <c r="H248" s="117">
        <f>Data!G$237</f>
        <v>4.4699999999999997E-2</v>
      </c>
      <c r="I248" s="117">
        <f>Data!H$237</f>
        <v>3.5099999999999999E-2</v>
      </c>
      <c r="J248" s="121">
        <f>Data!I$237</f>
        <v>2.9100000000000001E-2</v>
      </c>
      <c r="K248" s="121">
        <f>Data!J$237</f>
        <v>3.3000000000000002E-2</v>
      </c>
      <c r="L248" s="121">
        <f>Data!K$237</f>
        <v>4.1000000000000002E-2</v>
      </c>
      <c r="M248" s="121">
        <f>Data!L$237</f>
        <v>4.7500000000000001E-2</v>
      </c>
      <c r="N248" s="121">
        <f>Data!M$237</f>
        <v>5.0299999999999997E-2</v>
      </c>
      <c r="O248" s="118">
        <f ca="1">IF(N$248&lt;OFFSET(Scenarios!$A$8,0,$C$1),MIN(N$248+OFFSET(Scenarios!$A$16,0,$C$1),OFFSET(Scenarios!$A$8,0,$C$1)),MAX(N$248-OFFSET(Scenarios!$A$16,0,$C$1),OFFSET(Scenarios!$A$8,0,$C$1)))</f>
        <v>5.1299999999999998E-2</v>
      </c>
      <c r="P248" s="118">
        <f ca="1">IF(O$248&lt;OFFSET(Scenarios!$A$8,0,$C$1),MIN(O$248+OFFSET(Scenarios!$A$16,0,$C$1),OFFSET(Scenarios!$A$8,0,$C$1)),MAX(O$248-OFFSET(Scenarios!$A$16,0,$C$1),OFFSET(Scenarios!$A$8,0,$C$1)))</f>
        <v>5.2299999999999999E-2</v>
      </c>
      <c r="Q248" s="118">
        <f ca="1">IF(P$248&lt;OFFSET(Scenarios!$A$8,0,$C$1),MIN(P$248+OFFSET(Scenarios!$A$16,0,$C$1),OFFSET(Scenarios!$A$8,0,$C$1)),MAX(P$248-OFFSET(Scenarios!$A$16,0,$C$1),OFFSET(Scenarios!$A$8,0,$C$1)))</f>
        <v>5.33E-2</v>
      </c>
      <c r="R248" s="118">
        <f ca="1">IF(Q$248&lt;OFFSET(Scenarios!$A$8,0,$C$1),MIN(Q$248+OFFSET(Scenarios!$A$16,0,$C$1),OFFSET(Scenarios!$A$8,0,$C$1)),MAX(Q$248-OFFSET(Scenarios!$A$16,0,$C$1),OFFSET(Scenarios!$A$8,0,$C$1)))</f>
        <v>5.4300000000000001E-2</v>
      </c>
      <c r="S248" s="118">
        <f ca="1">IF(R$248&lt;OFFSET(Scenarios!$A$8,0,$C$1),MIN(R$248+OFFSET(Scenarios!$A$16,0,$C$1),OFFSET(Scenarios!$A$8,0,$C$1)),MAX(R$248-OFFSET(Scenarios!$A$16,0,$C$1),OFFSET(Scenarios!$A$8,0,$C$1)))</f>
        <v>5.5E-2</v>
      </c>
      <c r="T248" s="118">
        <f ca="1">IF(S$248&lt;OFFSET(Scenarios!$A$8,0,$C$1),MIN(S$248+OFFSET(Scenarios!$A$16,0,$C$1),OFFSET(Scenarios!$A$8,0,$C$1)),MAX(S$248-OFFSET(Scenarios!$A$16,0,$C$1),OFFSET(Scenarios!$A$8,0,$C$1)))</f>
        <v>5.5E-2</v>
      </c>
      <c r="U248" s="118">
        <f ca="1">IF(T$248&lt;OFFSET(Scenarios!$A$8,0,$C$1),MIN(T$248+OFFSET(Scenarios!$A$16,0,$C$1),OFFSET(Scenarios!$A$8,0,$C$1)),MAX(T$248-OFFSET(Scenarios!$A$16,0,$C$1),OFFSET(Scenarios!$A$8,0,$C$1)))</f>
        <v>5.5E-2</v>
      </c>
      <c r="V248" s="118">
        <f ca="1">IF(U$248&lt;OFFSET(Scenarios!$A$8,0,$C$1),MIN(U$248+OFFSET(Scenarios!$A$16,0,$C$1),OFFSET(Scenarios!$A$8,0,$C$1)),MAX(U$248-OFFSET(Scenarios!$A$16,0,$C$1),OFFSET(Scenarios!$A$8,0,$C$1)))</f>
        <v>5.5E-2</v>
      </c>
      <c r="W248" s="118">
        <f ca="1">IF(V$248&lt;OFFSET(Scenarios!$A$8,0,$C$1),MIN(V$248+OFFSET(Scenarios!$A$16,0,$C$1),OFFSET(Scenarios!$A$8,0,$C$1)),MAX(V$248-OFFSET(Scenarios!$A$16,0,$C$1),OFFSET(Scenarios!$A$8,0,$C$1)))</f>
        <v>5.5E-2</v>
      </c>
      <c r="X248" s="118">
        <f ca="1">IF(W$248&lt;OFFSET(Scenarios!$A$8,0,$C$1),MIN(W$248+OFFSET(Scenarios!$A$16,0,$C$1),OFFSET(Scenarios!$A$8,0,$C$1)),MAX(W$248-OFFSET(Scenarios!$A$16,0,$C$1),OFFSET(Scenarios!$A$8,0,$C$1)))</f>
        <v>5.5E-2</v>
      </c>
    </row>
    <row r="249" spans="1:24" x14ac:dyDescent="0.2">
      <c r="A249" s="260" t="s">
        <v>798</v>
      </c>
      <c r="B249" s="228"/>
      <c r="D249" s="262">
        <f>Data!C$231</f>
        <v>3.2764000000000002</v>
      </c>
      <c r="E249" s="262">
        <f>Data!D$231</f>
        <v>3.3161999999999998</v>
      </c>
      <c r="F249" s="262">
        <f>Data!E$231</f>
        <v>3.3551000000000002</v>
      </c>
      <c r="G249" s="262">
        <f>Data!F$231</f>
        <v>3.4039999999999999</v>
      </c>
      <c r="H249" s="262">
        <f>Data!G$231</f>
        <v>3.4479000000000002</v>
      </c>
      <c r="I249" s="262">
        <f>Data!H$231</f>
        <v>3.4786000000000001</v>
      </c>
      <c r="J249" s="123">
        <f>Data!I$231</f>
        <v>3.5076000000000001</v>
      </c>
      <c r="K249" s="123">
        <f>Data!J$231</f>
        <v>3.5444</v>
      </c>
      <c r="L249" s="123">
        <f>Data!K$231</f>
        <v>3.5847000000000002</v>
      </c>
      <c r="M249" s="123">
        <f>Data!L$231</f>
        <v>3.6244999999999998</v>
      </c>
      <c r="N249" s="123">
        <f>Data!M$231</f>
        <v>3.6623000000000001</v>
      </c>
      <c r="O249" s="73">
        <f>'Labour Force'!O$4/1000</f>
        <v>3.698946284636619</v>
      </c>
      <c r="P249" s="73">
        <f>'Labour Force'!P$4/1000</f>
        <v>3.7368108371807289</v>
      </c>
      <c r="Q249" s="73">
        <f>'Labour Force'!Q$4/1000</f>
        <v>3.7738108125001681</v>
      </c>
      <c r="R249" s="73">
        <f>'Labour Force'!R$4/1000</f>
        <v>3.8116065918559516</v>
      </c>
      <c r="S249" s="73">
        <f>'Labour Force'!S$4/1000</f>
        <v>3.8514655668615183</v>
      </c>
      <c r="T249" s="73">
        <f>'Labour Force'!T$4/1000</f>
        <v>3.8928866757162064</v>
      </c>
      <c r="U249" s="73">
        <f>'Labour Force'!U$4/1000</f>
        <v>3.9327947744277201</v>
      </c>
      <c r="V249" s="73">
        <f>'Labour Force'!V$4/1000</f>
        <v>3.9726242752097183</v>
      </c>
      <c r="W249" s="73">
        <f>'Labour Force'!W$4/1000</f>
        <v>4.0107049720599957</v>
      </c>
      <c r="X249" s="73">
        <f>'Labour Force'!X$4/1000</f>
        <v>4.0466242258485963</v>
      </c>
    </row>
    <row r="250" spans="1:24" x14ac:dyDescent="0.2">
      <c r="A250" s="159" t="s">
        <v>136</v>
      </c>
      <c r="D250" s="117"/>
      <c r="E250" s="117">
        <f t="shared" ref="E250:X250" si="129">E$249/D$249-1</f>
        <v>1.2147478940300216E-2</v>
      </c>
      <c r="F250" s="117">
        <f t="shared" si="129"/>
        <v>1.1730293709667716E-2</v>
      </c>
      <c r="G250" s="117">
        <f t="shared" si="129"/>
        <v>1.4574826383714212E-2</v>
      </c>
      <c r="H250" s="117">
        <f t="shared" si="129"/>
        <v>1.2896592244418414E-2</v>
      </c>
      <c r="I250" s="117">
        <f t="shared" si="129"/>
        <v>8.9039705327880192E-3</v>
      </c>
      <c r="J250" s="121">
        <f t="shared" si="129"/>
        <v>8.3366871730006231E-3</v>
      </c>
      <c r="K250" s="121">
        <f t="shared" si="129"/>
        <v>1.0491504162390308E-2</v>
      </c>
      <c r="L250" s="121">
        <f t="shared" si="129"/>
        <v>1.1370048527254317E-2</v>
      </c>
      <c r="M250" s="121">
        <f t="shared" si="129"/>
        <v>1.1102742209947669E-2</v>
      </c>
      <c r="N250" s="121">
        <f t="shared" si="129"/>
        <v>1.0429024693061173E-2</v>
      </c>
      <c r="O250" s="118">
        <f t="shared" si="129"/>
        <v>1.0006357927154763E-2</v>
      </c>
      <c r="P250" s="118">
        <f t="shared" si="129"/>
        <v>1.0236578103709704E-2</v>
      </c>
      <c r="Q250" s="118">
        <f t="shared" si="129"/>
        <v>9.9014846968690229E-3</v>
      </c>
      <c r="R250" s="118">
        <f t="shared" si="129"/>
        <v>1.0015281961297751E-2</v>
      </c>
      <c r="S250" s="118">
        <f t="shared" si="129"/>
        <v>1.0457263635426317E-2</v>
      </c>
      <c r="T250" s="118">
        <f t="shared" si="129"/>
        <v>1.0754635640801258E-2</v>
      </c>
      <c r="U250" s="118">
        <f t="shared" si="129"/>
        <v>1.0251543914817862E-2</v>
      </c>
      <c r="V250" s="118">
        <f t="shared" si="129"/>
        <v>1.0127530945927443E-2</v>
      </c>
      <c r="W250" s="118">
        <f t="shared" si="129"/>
        <v>9.5857786219328833E-3</v>
      </c>
      <c r="X250" s="118">
        <f t="shared" si="129"/>
        <v>8.9558454283791278E-3</v>
      </c>
    </row>
    <row r="251" spans="1:24" x14ac:dyDescent="0.2">
      <c r="A251" s="27" t="s">
        <v>189</v>
      </c>
      <c r="B251" s="226"/>
      <c r="D251" s="69">
        <f>Data!C$230</f>
        <v>2.2385000000000002</v>
      </c>
      <c r="E251" s="69">
        <f>Data!D$230</f>
        <v>2.2614999999999998</v>
      </c>
      <c r="F251" s="69">
        <f>Data!E$230</f>
        <v>2.3025000000000002</v>
      </c>
      <c r="G251" s="69">
        <f>Data!F$230</f>
        <v>2.3168000000000002</v>
      </c>
      <c r="H251" s="69">
        <f>Data!G$230</f>
        <v>2.355</v>
      </c>
      <c r="I251" s="69">
        <f>Data!H$230</f>
        <v>2.3809999999999998</v>
      </c>
      <c r="J251" s="123">
        <f>Data!I$230</f>
        <v>2.3733</v>
      </c>
      <c r="K251" s="123">
        <f>Data!J$230</f>
        <v>2.4108000000000001</v>
      </c>
      <c r="L251" s="123">
        <f>Data!K$230</f>
        <v>2.4569999999999999</v>
      </c>
      <c r="M251" s="123">
        <f>Data!L$230</f>
        <v>2.4817999999999998</v>
      </c>
      <c r="N251" s="123">
        <f>Data!M$230</f>
        <v>2.5022000000000002</v>
      </c>
      <c r="O251" s="73">
        <f>'Labour Force'!O$5/1000</f>
        <v>2.5305941603732371</v>
      </c>
      <c r="P251" s="73">
        <f>'Labour Force'!P$5/1000</f>
        <v>2.5578072642304339</v>
      </c>
      <c r="Q251" s="73">
        <f>'Labour Force'!Q$5/1000</f>
        <v>2.583439118867807</v>
      </c>
      <c r="R251" s="73">
        <f>'Labour Force'!R$5/1000</f>
        <v>2.6080656113468983</v>
      </c>
      <c r="S251" s="73">
        <f>'Labour Force'!S$5/1000</f>
        <v>2.6322235855386347</v>
      </c>
      <c r="T251" s="73">
        <f>'Labour Force'!T$5/1000</f>
        <v>2.6564303637186373</v>
      </c>
      <c r="U251" s="73">
        <f>'Labour Force'!U$5/1000</f>
        <v>2.6798660388840347</v>
      </c>
      <c r="V251" s="73">
        <f>'Labour Force'!V$5/1000</f>
        <v>2.702862478155037</v>
      </c>
      <c r="W251" s="73">
        <f>'Labour Force'!W$5/1000</f>
        <v>2.7246192961240796</v>
      </c>
      <c r="X251" s="73">
        <f>'Labour Force'!X$5/1000</f>
        <v>2.7448534296592193</v>
      </c>
    </row>
    <row r="252" spans="1:24" x14ac:dyDescent="0.2">
      <c r="A252" s="159" t="s">
        <v>136</v>
      </c>
      <c r="D252" s="117"/>
      <c r="E252" s="117">
        <f t="shared" ref="E252:X252" si="130">E$251/D$251-1</f>
        <v>1.0274737547464774E-2</v>
      </c>
      <c r="F252" s="117">
        <f t="shared" si="130"/>
        <v>1.8129560026531211E-2</v>
      </c>
      <c r="G252" s="117">
        <f t="shared" si="130"/>
        <v>6.2106406080346677E-3</v>
      </c>
      <c r="H252" s="117">
        <f t="shared" si="130"/>
        <v>1.6488259668508087E-2</v>
      </c>
      <c r="I252" s="117">
        <f t="shared" si="130"/>
        <v>1.1040339702760082E-2</v>
      </c>
      <c r="J252" s="121">
        <f t="shared" si="130"/>
        <v>-3.2339353212934574E-3</v>
      </c>
      <c r="K252" s="121">
        <f t="shared" si="130"/>
        <v>1.5800783718872502E-2</v>
      </c>
      <c r="L252" s="121">
        <f t="shared" si="130"/>
        <v>1.9163763066202044E-2</v>
      </c>
      <c r="M252" s="121">
        <f t="shared" si="130"/>
        <v>1.0093610093609984E-2</v>
      </c>
      <c r="N252" s="121">
        <f t="shared" si="130"/>
        <v>8.2198404383917456E-3</v>
      </c>
      <c r="O252" s="118">
        <f t="shared" si="130"/>
        <v>1.13476781924855E-2</v>
      </c>
      <c r="P252" s="118">
        <f t="shared" si="130"/>
        <v>1.075364208268903E-2</v>
      </c>
      <c r="Q252" s="118">
        <f t="shared" si="130"/>
        <v>1.0021026601894745E-2</v>
      </c>
      <c r="R252" s="118">
        <f t="shared" si="130"/>
        <v>9.5324454519694068E-3</v>
      </c>
      <c r="S252" s="118">
        <f t="shared" si="130"/>
        <v>9.2627938831877366E-3</v>
      </c>
      <c r="T252" s="118">
        <f t="shared" si="130"/>
        <v>9.1963229540963365E-3</v>
      </c>
      <c r="U252" s="118">
        <f t="shared" si="130"/>
        <v>8.8222433704570058E-3</v>
      </c>
      <c r="V252" s="118">
        <f t="shared" si="130"/>
        <v>8.581189857004512E-3</v>
      </c>
      <c r="W252" s="118">
        <f t="shared" si="130"/>
        <v>8.0495467841537049E-3</v>
      </c>
      <c r="X252" s="118">
        <f t="shared" si="130"/>
        <v>7.4264076320400552E-3</v>
      </c>
    </row>
    <row r="253" spans="1:24" x14ac:dyDescent="0.2">
      <c r="A253" s="27" t="s">
        <v>138</v>
      </c>
      <c r="D253" s="117">
        <f t="shared" ref="D253:X253" si="131">D$251/D$249</f>
        <v>0.6832193871322183</v>
      </c>
      <c r="E253" s="117">
        <f t="shared" si="131"/>
        <v>0.68195524998492252</v>
      </c>
      <c r="F253" s="117">
        <f t="shared" si="131"/>
        <v>0.6862686656135436</v>
      </c>
      <c r="G253" s="117">
        <f t="shared" si="131"/>
        <v>0.68061104582843723</v>
      </c>
      <c r="H253" s="117">
        <f t="shared" si="131"/>
        <v>0.68302444966501341</v>
      </c>
      <c r="I253" s="117">
        <f t="shared" si="131"/>
        <v>0.68447076410050012</v>
      </c>
      <c r="J253" s="121">
        <f t="shared" si="131"/>
        <v>0.67661648990762913</v>
      </c>
      <c r="K253" s="121">
        <f t="shared" si="131"/>
        <v>0.68017153820110599</v>
      </c>
      <c r="L253" s="121">
        <f t="shared" si="131"/>
        <v>0.68541300527240767</v>
      </c>
      <c r="M253" s="121">
        <f t="shared" si="131"/>
        <v>0.68472892812801767</v>
      </c>
      <c r="N253" s="121">
        <f t="shared" si="131"/>
        <v>0.68323184883816179</v>
      </c>
      <c r="O253" s="118">
        <f t="shared" si="131"/>
        <v>0.68413920225982416</v>
      </c>
      <c r="P253" s="118">
        <f t="shared" si="131"/>
        <v>0.68448936156484574</v>
      </c>
      <c r="Q253" s="118">
        <f t="shared" si="131"/>
        <v>0.68457038447994323</v>
      </c>
      <c r="R253" s="118">
        <f t="shared" si="131"/>
        <v>0.68424312648619279</v>
      </c>
      <c r="S253" s="118">
        <f t="shared" si="131"/>
        <v>0.68343427711949678</v>
      </c>
      <c r="T253" s="118">
        <f t="shared" si="131"/>
        <v>0.68238060467812411</v>
      </c>
      <c r="U253" s="118">
        <f t="shared" si="131"/>
        <v>0.68141517485462866</v>
      </c>
      <c r="V253" s="118">
        <f t="shared" si="131"/>
        <v>0.68037203896216703</v>
      </c>
      <c r="W253" s="118">
        <f t="shared" si="131"/>
        <v>0.67933675378886038</v>
      </c>
      <c r="X253" s="118">
        <f t="shared" si="131"/>
        <v>0.67830697303839982</v>
      </c>
    </row>
    <row r="254" spans="1:24" x14ac:dyDescent="0.2">
      <c r="A254" s="27" t="s">
        <v>122</v>
      </c>
      <c r="B254" s="226"/>
      <c r="D254" s="117">
        <f>Data!C$232</f>
        <v>3.7999999999999999E-2</v>
      </c>
      <c r="E254" s="117">
        <f>Data!D$232</f>
        <v>3.73E-2</v>
      </c>
      <c r="F254" s="117">
        <f>Data!E$232</f>
        <v>4.9799999999999997E-2</v>
      </c>
      <c r="G254" s="117">
        <f>Data!F$232</f>
        <v>6.6299999999999998E-2</v>
      </c>
      <c r="H254" s="117">
        <f>Data!G$232</f>
        <v>6.5500000000000003E-2</v>
      </c>
      <c r="I254" s="117">
        <f>Data!H$232</f>
        <v>6.6000000000000003E-2</v>
      </c>
      <c r="J254" s="121">
        <f>Data!I$232</f>
        <v>7.0099999999999996E-2</v>
      </c>
      <c r="K254" s="121">
        <f>Data!J$232</f>
        <v>6.2E-2</v>
      </c>
      <c r="L254" s="121">
        <f>Data!K$232</f>
        <v>5.8900000000000001E-2</v>
      </c>
      <c r="M254" s="121">
        <f>Data!L$232</f>
        <v>5.5899999999999998E-2</v>
      </c>
      <c r="N254" s="121">
        <f>Data!M$232</f>
        <v>5.2600000000000001E-2</v>
      </c>
      <c r="O254" s="118">
        <f ca="1">IF(O$4&lt;=OFFSET(Scenarios!$A$14,0,$C$1),Data!Q$232,IF(N$254&lt;OFFSET(Scenarios!$A$9,0,$C$1),MIN(N$254+OFFSET(Scenarios!$A$17,0,$C$1),OFFSET(Scenarios!$A$9,0,$C$1)),MAX(N$254-OFFSET(Scenarios!$A$17,0,$C$1),OFFSET(Scenarios!$A$9,0,$C$1))))</f>
        <v>4.9799999999999997E-2</v>
      </c>
      <c r="P254" s="118">
        <f ca="1">IF(P$4&lt;=OFFSET(Scenarios!$A$14,0,$C$1),Data!R$232,IF(O$254&lt;OFFSET(Scenarios!$A$9,0,$C$1),MIN(O$254+OFFSET(Scenarios!$A$17,0,$C$1),OFFSET(Scenarios!$A$9,0,$C$1)),MAX(O$254-OFFSET(Scenarios!$A$17,0,$C$1),OFFSET(Scenarios!$A$9,0,$C$1))))</f>
        <v>4.8300000000000003E-2</v>
      </c>
      <c r="Q254" s="118">
        <f ca="1">IF(Q$4&lt;=OFFSET(Scenarios!$A$14,0,$C$1),Data!S$232,IF(P$254&lt;OFFSET(Scenarios!$A$9,0,$C$1),MIN(P$254+OFFSET(Scenarios!$A$17,0,$C$1),OFFSET(Scenarios!$A$9,0,$C$1)),MAX(P$254-OFFSET(Scenarios!$A$17,0,$C$1),OFFSET(Scenarios!$A$9,0,$C$1))))</f>
        <v>4.7300000000000002E-2</v>
      </c>
      <c r="R254" s="118">
        <f ca="1">IF(R$4&lt;=OFFSET(Scenarios!$A$14,0,$C$1),Data!T$232,IF(Q$254&lt;OFFSET(Scenarios!$A$9,0,$C$1),MIN(Q$254+OFFSET(Scenarios!$A$17,0,$C$1),OFFSET(Scenarios!$A$9,0,$C$1)),MAX(Q$254-OFFSET(Scenarios!$A$17,0,$C$1),OFFSET(Scenarios!$A$9,0,$C$1))))</f>
        <v>4.6300000000000001E-2</v>
      </c>
      <c r="S254" s="118">
        <f ca="1">IF(S$4&lt;=OFFSET(Scenarios!$A$14,0,$C$1),Data!U$232,IF(R$254&lt;OFFSET(Scenarios!$A$9,0,$C$1),MIN(R$254+OFFSET(Scenarios!$A$17,0,$C$1),OFFSET(Scenarios!$A$9,0,$C$1)),MAX(R$254-OFFSET(Scenarios!$A$17,0,$C$1),OFFSET(Scenarios!$A$9,0,$C$1))))</f>
        <v>4.53E-2</v>
      </c>
      <c r="T254" s="118">
        <f ca="1">IF(T$4&lt;=OFFSET(Scenarios!$A$14,0,$C$1),Data!V$232,IF(S$254&lt;OFFSET(Scenarios!$A$9,0,$C$1),MIN(S$254+OFFSET(Scenarios!$A$17,0,$C$1),OFFSET(Scenarios!$A$9,0,$C$1)),MAX(S$254-OFFSET(Scenarios!$A$17,0,$C$1),OFFSET(Scenarios!$A$9,0,$C$1))))</f>
        <v>4.4999999999999998E-2</v>
      </c>
      <c r="U254" s="118">
        <f ca="1">IF(U$4&lt;=OFFSET(Scenarios!$A$14,0,$C$1),Data!W$232,IF(T$254&lt;OFFSET(Scenarios!$A$9,0,$C$1),MIN(T$254+OFFSET(Scenarios!$A$17,0,$C$1),OFFSET(Scenarios!$A$9,0,$C$1)),MAX(T$254-OFFSET(Scenarios!$A$17,0,$C$1),OFFSET(Scenarios!$A$9,0,$C$1))))</f>
        <v>4.4999999999999998E-2</v>
      </c>
      <c r="V254" s="118">
        <f ca="1">IF(V$4&lt;=OFFSET(Scenarios!$A$14,0,$C$1),Data!X$232,IF(U$254&lt;OFFSET(Scenarios!$A$9,0,$C$1),MIN(U$254+OFFSET(Scenarios!$A$17,0,$C$1),OFFSET(Scenarios!$A$9,0,$C$1)),MAX(U$254-OFFSET(Scenarios!$A$17,0,$C$1),OFFSET(Scenarios!$A$9,0,$C$1))))</f>
        <v>4.4999999999999998E-2</v>
      </c>
      <c r="W254" s="118">
        <f ca="1">IF(W$4&lt;=OFFSET(Scenarios!$A$14,0,$C$1),Data!Y$232,IF(V$254&lt;OFFSET(Scenarios!$A$9,0,$C$1),MIN(V$254+OFFSET(Scenarios!$A$17,0,$C$1),OFFSET(Scenarios!$A$9,0,$C$1)),MAX(V$254-OFFSET(Scenarios!$A$17,0,$C$1),OFFSET(Scenarios!$A$9,0,$C$1))))</f>
        <v>4.4999999999999998E-2</v>
      </c>
      <c r="X254" s="118">
        <f ca="1">IF(X$4&lt;=OFFSET(Scenarios!$A$14,0,$C$1),Data!Z$232,IF(W$254&lt;OFFSET(Scenarios!$A$9,0,$C$1),MIN(W$254+OFFSET(Scenarios!$A$17,0,$C$1),OFFSET(Scenarios!$A$9,0,$C$1)),MAX(W$254-OFFSET(Scenarios!$A$17,0,$C$1),OFFSET(Scenarios!$A$9,0,$C$1))))</f>
        <v>4.4999999999999998E-2</v>
      </c>
    </row>
    <row r="255" spans="1:24" x14ac:dyDescent="0.2">
      <c r="A255" s="27" t="s">
        <v>505</v>
      </c>
      <c r="D255" s="69">
        <f t="shared" ref="D255:X255" si="132">D$251*(1-D$254)</f>
        <v>2.1534370000000003</v>
      </c>
      <c r="E255" s="69">
        <f t="shared" si="132"/>
        <v>2.1771460499999997</v>
      </c>
      <c r="F255" s="69">
        <f t="shared" si="132"/>
        <v>2.1878355000000003</v>
      </c>
      <c r="G255" s="69">
        <f t="shared" si="132"/>
        <v>2.16319616</v>
      </c>
      <c r="H255" s="69">
        <f t="shared" si="132"/>
        <v>2.2007474999999999</v>
      </c>
      <c r="I255" s="69">
        <f t="shared" si="132"/>
        <v>2.2238539999999998</v>
      </c>
      <c r="J255" s="123">
        <f t="shared" si="132"/>
        <v>2.2069316699999999</v>
      </c>
      <c r="K255" s="123">
        <f t="shared" si="132"/>
        <v>2.2613303999999999</v>
      </c>
      <c r="L255" s="123">
        <f t="shared" si="132"/>
        <v>2.3122826999999999</v>
      </c>
      <c r="M255" s="123">
        <f t="shared" si="132"/>
        <v>2.3430673799999999</v>
      </c>
      <c r="N255" s="123">
        <f t="shared" si="132"/>
        <v>2.3705842800000001</v>
      </c>
      <c r="O255" s="73">
        <f t="shared" ca="1" si="132"/>
        <v>2.4045705711866501</v>
      </c>
      <c r="P255" s="73">
        <f t="shared" ca="1" si="132"/>
        <v>2.4342651733681038</v>
      </c>
      <c r="Q255" s="73">
        <f t="shared" ca="1" si="132"/>
        <v>2.4612424485453599</v>
      </c>
      <c r="R255" s="73">
        <f t="shared" ca="1" si="132"/>
        <v>2.4873121735415369</v>
      </c>
      <c r="S255" s="73">
        <f t="shared" ca="1" si="132"/>
        <v>2.5129838571137344</v>
      </c>
      <c r="T255" s="73">
        <f t="shared" ca="1" si="132"/>
        <v>2.5368909973512985</v>
      </c>
      <c r="U255" s="73">
        <f t="shared" ca="1" si="132"/>
        <v>2.5592720671342533</v>
      </c>
      <c r="V255" s="73">
        <f t="shared" ca="1" si="132"/>
        <v>2.5812336666380604</v>
      </c>
      <c r="W255" s="73">
        <f t="shared" ca="1" si="132"/>
        <v>2.6020114277984958</v>
      </c>
      <c r="X255" s="73">
        <f t="shared" ca="1" si="132"/>
        <v>2.6213350253245542</v>
      </c>
    </row>
    <row r="256" spans="1:24" x14ac:dyDescent="0.2">
      <c r="A256" s="159" t="s">
        <v>136</v>
      </c>
      <c r="D256" s="117"/>
      <c r="E256" s="117">
        <f t="shared" ref="E256:X256" si="133">E$255/D$255-1</f>
        <v>1.1009864695368021E-2</v>
      </c>
      <c r="F256" s="117">
        <f t="shared" si="133"/>
        <v>4.9098451617430872E-3</v>
      </c>
      <c r="G256" s="117">
        <f t="shared" si="133"/>
        <v>-1.1261971021130357E-2</v>
      </c>
      <c r="H256" s="117">
        <f t="shared" si="133"/>
        <v>1.7359193167206799E-2</v>
      </c>
      <c r="I256" s="117">
        <f t="shared" si="133"/>
        <v>1.0499387140051164E-2</v>
      </c>
      <c r="J256" s="121">
        <f t="shared" si="133"/>
        <v>-7.6094608728809465E-3</v>
      </c>
      <c r="K256" s="121">
        <f t="shared" si="133"/>
        <v>2.4649032291969464E-2</v>
      </c>
      <c r="L256" s="121">
        <f t="shared" si="133"/>
        <v>2.2532001515568112E-2</v>
      </c>
      <c r="M256" s="121">
        <f t="shared" si="133"/>
        <v>1.3313545095502421E-2</v>
      </c>
      <c r="N256" s="121">
        <f t="shared" si="133"/>
        <v>1.1743964443737154E-2</v>
      </c>
      <c r="O256" s="118">
        <f t="shared" ca="1" si="133"/>
        <v>1.4336672808211715E-2</v>
      </c>
      <c r="P256" s="118">
        <f t="shared" ca="1" si="133"/>
        <v>1.2349232972105995E-2</v>
      </c>
      <c r="Q256" s="118">
        <f t="shared" ca="1" si="133"/>
        <v>1.1082307495666077E-2</v>
      </c>
      <c r="R256" s="118">
        <f t="shared" ca="1" si="133"/>
        <v>1.0592099535575938E-2</v>
      </c>
      <c r="S256" s="118">
        <f t="shared" ca="1" si="133"/>
        <v>1.0321054126328333E-2</v>
      </c>
      <c r="T256" s="118">
        <f t="shared" ca="1" si="133"/>
        <v>9.5134475973206456E-3</v>
      </c>
      <c r="U256" s="118">
        <f t="shared" ca="1" si="133"/>
        <v>8.8222433704570058E-3</v>
      </c>
      <c r="V256" s="118">
        <f t="shared" ca="1" si="133"/>
        <v>8.581189857004512E-3</v>
      </c>
      <c r="W256" s="118">
        <f t="shared" ca="1" si="133"/>
        <v>8.0495467841537049E-3</v>
      </c>
      <c r="X256" s="118">
        <f t="shared" ca="1" si="133"/>
        <v>7.4264076320400552E-3</v>
      </c>
    </row>
    <row r="257" spans="1:24" x14ac:dyDescent="0.2">
      <c r="A257" s="27" t="s">
        <v>123</v>
      </c>
      <c r="B257" s="226"/>
      <c r="D257" s="416">
        <f>Data!C$233</f>
        <v>34.15</v>
      </c>
      <c r="E257" s="416">
        <f>Data!D$233</f>
        <v>33.799999999999997</v>
      </c>
      <c r="F257" s="416">
        <f>Data!E$233</f>
        <v>33.340000000000003</v>
      </c>
      <c r="G257" s="416">
        <f>Data!F$233</f>
        <v>33.24</v>
      </c>
      <c r="H257" s="416">
        <f>Data!G$233</f>
        <v>33.35</v>
      </c>
      <c r="I257" s="416">
        <f>Data!H$233</f>
        <v>33.25</v>
      </c>
      <c r="J257" s="417">
        <f>Data!I$233</f>
        <v>33.380000000000003</v>
      </c>
      <c r="K257" s="417">
        <f>Data!J$233</f>
        <v>33.51</v>
      </c>
      <c r="L257" s="417">
        <f>Data!K$233</f>
        <v>33.35</v>
      </c>
      <c r="M257" s="417">
        <f>Data!L$233</f>
        <v>33.299999999999997</v>
      </c>
      <c r="N257" s="417">
        <f>Data!M$233</f>
        <v>33.28</v>
      </c>
      <c r="O257" s="418">
        <f ca="1">IF(O$4&lt;=OFFSET(Scenarios!$A$14,0,$C$1),Data!Q$233,IF(N$257&lt;OFFSET(Scenarios!$A$10,0,$C$1),MIN(N$257+OFFSET(Scenarios!$A$18,0,$C$1),OFFSET(Scenarios!$A$10,0,$C$1)),MAX(N$257-OFFSET(Scenarios!$A$18,0,$C$1),OFFSET(Scenarios!$A$10,0,$C$1))))</f>
        <v>33.24</v>
      </c>
      <c r="P257" s="418">
        <f ca="1">IF(P$4&lt;=OFFSET(Scenarios!$A$14,0,$C$1),Data!R$233,IF(O$257&lt;OFFSET(Scenarios!$A$10,0,$C$1),MIN(O$257+OFFSET(Scenarios!$A$18,0,$C$1),OFFSET(Scenarios!$A$10,0,$C$1)),MAX(O$257-OFFSET(Scenarios!$A$18,0,$C$1),OFFSET(Scenarios!$A$10,0,$C$1))))</f>
        <v>33.22</v>
      </c>
      <c r="Q257" s="418">
        <f ca="1">IF(Q$4&lt;=OFFSET(Scenarios!$A$14,0,$C$1),Data!S$233,IF(P$257&lt;OFFSET(Scenarios!$A$10,0,$C$1),MIN(P$257+OFFSET(Scenarios!$A$18,0,$C$1),OFFSET(Scenarios!$A$10,0,$C$1)),MAX(P$257-OFFSET(Scenarios!$A$18,0,$C$1),OFFSET(Scenarios!$A$10,0,$C$1))))</f>
        <v>33.200000000000003</v>
      </c>
      <c r="R257" s="418">
        <f ca="1">IF(R$4&lt;=OFFSET(Scenarios!$A$14,0,$C$1),Data!T$233,IF(Q$257&lt;OFFSET(Scenarios!$A$10,0,$C$1),MIN(Q$257+OFFSET(Scenarios!$A$18,0,$C$1),OFFSET(Scenarios!$A$10,0,$C$1)),MAX(Q$257-OFFSET(Scenarios!$A$18,0,$C$1),OFFSET(Scenarios!$A$10,0,$C$1))))</f>
        <v>33.200000000000003</v>
      </c>
      <c r="S257" s="418">
        <f ca="1">IF(S$4&lt;=OFFSET(Scenarios!$A$14,0,$C$1),Data!U$233,IF(R$257&lt;OFFSET(Scenarios!$A$10,0,$C$1),MIN(R$257+OFFSET(Scenarios!$A$18,0,$C$1),OFFSET(Scenarios!$A$10,0,$C$1)),MAX(R$257-OFFSET(Scenarios!$A$18,0,$C$1),OFFSET(Scenarios!$A$10,0,$C$1))))</f>
        <v>33.200000000000003</v>
      </c>
      <c r="T257" s="418">
        <f ca="1">IF(T$4&lt;=OFFSET(Scenarios!$A$14,0,$C$1),Data!V$233,IF(S$257&lt;OFFSET(Scenarios!$A$10,0,$C$1),MIN(S$257+OFFSET(Scenarios!$A$18,0,$C$1),OFFSET(Scenarios!$A$10,0,$C$1)),MAX(S$257-OFFSET(Scenarios!$A$18,0,$C$1),OFFSET(Scenarios!$A$10,0,$C$1))))</f>
        <v>33.200000000000003</v>
      </c>
      <c r="U257" s="418">
        <f ca="1">IF(U$4&lt;=OFFSET(Scenarios!$A$14,0,$C$1),Data!W$233,IF(T$257&lt;OFFSET(Scenarios!$A$10,0,$C$1),MIN(T$257+OFFSET(Scenarios!$A$18,0,$C$1),OFFSET(Scenarios!$A$10,0,$C$1)),MAX(T$257-OFFSET(Scenarios!$A$18,0,$C$1),OFFSET(Scenarios!$A$10,0,$C$1))))</f>
        <v>33.200000000000003</v>
      </c>
      <c r="V257" s="418">
        <f ca="1">IF(V$4&lt;=OFFSET(Scenarios!$A$14,0,$C$1),Data!X$233,IF(U$257&lt;OFFSET(Scenarios!$A$10,0,$C$1),MIN(U$257+OFFSET(Scenarios!$A$18,0,$C$1),OFFSET(Scenarios!$A$10,0,$C$1)),MAX(U$257-OFFSET(Scenarios!$A$18,0,$C$1),OFFSET(Scenarios!$A$10,0,$C$1))))</f>
        <v>33.200000000000003</v>
      </c>
      <c r="W257" s="418">
        <f ca="1">IF(W$4&lt;=OFFSET(Scenarios!$A$14,0,$C$1),Data!Y$233,IF(V$257&lt;OFFSET(Scenarios!$A$10,0,$C$1),MIN(V$257+OFFSET(Scenarios!$A$18,0,$C$1),OFFSET(Scenarios!$A$10,0,$C$1)),MAX(V$257-OFFSET(Scenarios!$A$18,0,$C$1),OFFSET(Scenarios!$A$10,0,$C$1))))</f>
        <v>33.200000000000003</v>
      </c>
      <c r="X257" s="418">
        <f ca="1">IF(X$4&lt;=OFFSET(Scenarios!$A$14,0,$C$1),Data!Z$233,IF(W$257&lt;OFFSET(Scenarios!$A$10,0,$C$1),MIN(W$257+OFFSET(Scenarios!$A$18,0,$C$1),OFFSET(Scenarios!$A$10,0,$C$1)),MAX(W$257-OFFSET(Scenarios!$A$18,0,$C$1),OFFSET(Scenarios!$A$10,0,$C$1))))</f>
        <v>33.200000000000003</v>
      </c>
    </row>
    <row r="258" spans="1:24" x14ac:dyDescent="0.2">
      <c r="A258" s="27" t="s">
        <v>193</v>
      </c>
      <c r="B258" s="226"/>
      <c r="D258" s="117">
        <f>Data!C$235</f>
        <v>4.8099999999999997E-2</v>
      </c>
      <c r="E258" s="117">
        <f>Data!D$235</f>
        <v>4.5900000000000003E-2</v>
      </c>
      <c r="F258" s="117">
        <f>Data!E$235</f>
        <v>5.3100000000000001E-2</v>
      </c>
      <c r="G258" s="117">
        <f>Data!F$235</f>
        <v>2.1899999999999999E-2</v>
      </c>
      <c r="H258" s="117">
        <f>Data!G$235</f>
        <v>2.1399999999999999E-2</v>
      </c>
      <c r="I258" s="117">
        <f>Data!H$235</f>
        <v>3.1699999999999999E-2</v>
      </c>
      <c r="J258" s="121">
        <f>Data!I$235</f>
        <v>2.41E-2</v>
      </c>
      <c r="K258" s="121">
        <f>Data!J$235</f>
        <v>2.9000000000000001E-2</v>
      </c>
      <c r="L258" s="121">
        <f>Data!K$235</f>
        <v>2.3300000000000001E-2</v>
      </c>
      <c r="M258" s="121">
        <f>Data!L$235</f>
        <v>2.7199999999999998E-2</v>
      </c>
      <c r="N258" s="121">
        <f>Data!M$235</f>
        <v>3.2599999999999997E-2</v>
      </c>
      <c r="O258" s="118">
        <f t="shared" ref="O258:X258" ca="1" si="134">(1+O$247)*(1+O$259)-1</f>
        <v>3.1344143237854283E-2</v>
      </c>
      <c r="P258" s="118">
        <f t="shared" ca="1" si="134"/>
        <v>3.2864601440165897E-2</v>
      </c>
      <c r="Q258" s="118">
        <f t="shared" ca="1" si="134"/>
        <v>3.5299999999999887E-2</v>
      </c>
      <c r="R258" s="118">
        <f t="shared" ca="1" si="134"/>
        <v>3.5299999999999887E-2</v>
      </c>
      <c r="S258" s="118">
        <f t="shared" ca="1" si="134"/>
        <v>3.5299999999999887E-2</v>
      </c>
      <c r="T258" s="118">
        <f t="shared" ca="1" si="134"/>
        <v>3.5299999999999887E-2</v>
      </c>
      <c r="U258" s="118">
        <f t="shared" ca="1" si="134"/>
        <v>3.5299999999999887E-2</v>
      </c>
      <c r="V258" s="118">
        <f t="shared" ca="1" si="134"/>
        <v>3.5299999999999887E-2</v>
      </c>
      <c r="W258" s="118">
        <f t="shared" ca="1" si="134"/>
        <v>3.5299999999999887E-2</v>
      </c>
      <c r="X258" s="118">
        <f t="shared" ca="1" si="134"/>
        <v>3.5299999999999887E-2</v>
      </c>
    </row>
    <row r="259" spans="1:24" x14ac:dyDescent="0.2">
      <c r="A259" s="27" t="s">
        <v>275</v>
      </c>
      <c r="B259" s="226"/>
      <c r="D259" s="117">
        <f>Data!C$234</f>
        <v>2.4199999999999999E-2</v>
      </c>
      <c r="E259" s="117">
        <f>Data!D$234</f>
        <v>1.72E-2</v>
      </c>
      <c r="F259" s="117">
        <f>Data!E$234</f>
        <v>-1.46E-2</v>
      </c>
      <c r="G259" s="117">
        <f>Data!F$234</f>
        <v>2.3699999999999999E-2</v>
      </c>
      <c r="H259" s="117">
        <f>Data!G$234</f>
        <v>-1.14E-2</v>
      </c>
      <c r="I259" s="117">
        <f>Data!H$234</f>
        <v>1.6500000000000001E-2</v>
      </c>
      <c r="J259" s="121">
        <f>Data!I$234</f>
        <v>2.92E-2</v>
      </c>
      <c r="K259" s="121">
        <f>Data!J$234</f>
        <v>-3.5999999999999999E-3</v>
      </c>
      <c r="L259" s="121">
        <f>Data!K$234</f>
        <v>1.12E-2</v>
      </c>
      <c r="M259" s="121">
        <f>Data!L$234</f>
        <v>1.35E-2</v>
      </c>
      <c r="N259" s="121">
        <f>Data!M$234</f>
        <v>1.0699999999999999E-2</v>
      </c>
      <c r="O259" s="118">
        <f ca="1">IF(OFFSET(Scenarios!$A$14,0,$C$1)&gt;=O$4,(O$242/N$242)/((O$251*(1-O$254)*O$257)/(N$251*(1-N$254)*N$257))-1,OFFSET(Scenarios!$A$6,0,$C$1))</f>
        <v>1.0743082394610637E-2</v>
      </c>
      <c r="P259" s="118">
        <f ca="1">IF(OFFSET(Scenarios!$A$14,0,$C$1)&gt;=P$4,(P$242/O$242)/((P$251*(1-P$254)*P$257)/(O$251*(1-O$254)*O$257))-1,OFFSET(Scenarios!$A$6,0,$C$1))</f>
        <v>1.2612354353103816E-2</v>
      </c>
      <c r="Q259" s="118">
        <f ca="1">IF(OFFSET(Scenarios!$A$14,0,$C$1)&gt;=Q$4,(Q$242/P$242)/((Q$251*(1-Q$254)*Q$257)/(P$251*(1-P$254)*P$257))-1,OFFSET(Scenarios!$A$6,0,$C$1))</f>
        <v>1.4999999999999999E-2</v>
      </c>
      <c r="R259" s="118">
        <f ca="1">IF(OFFSET(Scenarios!$A$14,0,$C$1)&gt;=R$4,(R$242/Q$242)/((R$251*(1-R$254)*R$257)/(Q$251*(1-Q$254)*Q$257))-1,OFFSET(Scenarios!$A$6,0,$C$1))</f>
        <v>1.4999999999999999E-2</v>
      </c>
      <c r="S259" s="118">
        <f ca="1">IF(OFFSET(Scenarios!$A$14,0,$C$1)&gt;=S$4,(S$242/R$242)/((S$251*(1-S$254)*S$257)/(R$251*(1-R$254)*R$257))-1,OFFSET(Scenarios!$A$6,0,$C$1))</f>
        <v>1.4999999999999999E-2</v>
      </c>
      <c r="T259" s="118">
        <f ca="1">IF(OFFSET(Scenarios!$A$14,0,$C$1)&gt;=T$4,(T$242/S$242)/((T$251*(1-T$254)*T$257)/(S$251*(1-S$254)*S$257))-1,OFFSET(Scenarios!$A$6,0,$C$1))</f>
        <v>1.4999999999999999E-2</v>
      </c>
      <c r="U259" s="118">
        <f ca="1">IF(OFFSET(Scenarios!$A$14,0,$C$1)&gt;=U$4,(U$242/T$242)/((U$251*(1-U$254)*U$257)/(T$251*(1-T$254)*T$257))-1,OFFSET(Scenarios!$A$6,0,$C$1))</f>
        <v>1.4999999999999999E-2</v>
      </c>
      <c r="V259" s="118">
        <f ca="1">IF(OFFSET(Scenarios!$A$14,0,$C$1)&gt;=V$4,(V$242/U$242)/((V$251*(1-V$254)*V$257)/(U$251*(1-U$254)*U$257))-1,OFFSET(Scenarios!$A$6,0,$C$1))</f>
        <v>1.4999999999999999E-2</v>
      </c>
      <c r="W259" s="118">
        <f ca="1">IF(OFFSET(Scenarios!$A$14,0,$C$1)&gt;=W$4,(W$242/V$242)/((W$251*(1-W$254)*W$257)/(V$251*(1-V$254)*V$257))-1,OFFSET(Scenarios!$A$6,0,$C$1))</f>
        <v>1.4999999999999999E-2</v>
      </c>
      <c r="X259" s="118">
        <f ca="1">IF(OFFSET(Scenarios!$A$14,0,$C$1)&gt;=X$4,(X$242/W$242)/((X$251*(1-X$254)*X$257)/(W$251*(1-W$254)*W$257))-1,OFFSET(Scenarios!$A$6,0,$C$1))</f>
        <v>1.4999999999999999E-2</v>
      </c>
    </row>
    <row r="260" spans="1:24" x14ac:dyDescent="0.2">
      <c r="A260" s="2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5.75" x14ac:dyDescent="0.25">
      <c r="A261" s="150" t="s">
        <v>276</v>
      </c>
      <c r="D261" s="72"/>
      <c r="E261" s="72"/>
      <c r="F261" s="72"/>
      <c r="K261" s="124"/>
    </row>
    <row r="262" spans="1:24" x14ac:dyDescent="0.2">
      <c r="A262" s="27" t="s">
        <v>246</v>
      </c>
      <c r="D262" s="72"/>
      <c r="E262" s="72"/>
      <c r="F262" s="72"/>
      <c r="K262" s="124"/>
    </row>
    <row r="263" spans="1:24" x14ac:dyDescent="0.2">
      <c r="A263" s="28" t="s">
        <v>175</v>
      </c>
      <c r="D263" s="72"/>
      <c r="E263" s="70">
        <f>Popn!E$201</f>
        <v>2.1245087429515364E-2</v>
      </c>
      <c r="F263" s="70">
        <f>Popn!F$201</f>
        <v>2.7347090537274577E-2</v>
      </c>
      <c r="G263" s="70">
        <f>Popn!G$201</f>
        <v>2.9948788476502397E-2</v>
      </c>
      <c r="H263" s="70">
        <f>Popn!H$201</f>
        <v>3.1379576920373964E-2</v>
      </c>
      <c r="I263" s="70">
        <f>Popn!I$201</f>
        <v>4.1157030424857854E-2</v>
      </c>
      <c r="J263" s="125">
        <f>Popn!J$201</f>
        <v>3.8172060604077407E-2</v>
      </c>
      <c r="K263" s="125">
        <f>Popn!K$201</f>
        <v>3.5208270949236509E-2</v>
      </c>
      <c r="L263" s="125">
        <f>Popn!L$201</f>
        <v>3.5122174012331531E-2</v>
      </c>
      <c r="M263" s="125">
        <f>Popn!M$201</f>
        <v>3.2930344746440854E-2</v>
      </c>
      <c r="N263" s="125">
        <f>Popn!N$201</f>
        <v>3.2435818940353967E-2</v>
      </c>
      <c r="O263" s="142">
        <f>Popn!O$201</f>
        <v>3.1665034685349314E-2</v>
      </c>
      <c r="P263" s="142">
        <f>Popn!P$201</f>
        <v>3.2337410600895566E-2</v>
      </c>
      <c r="Q263" s="142">
        <f>Popn!Q$201</f>
        <v>3.2295659380503494E-2</v>
      </c>
      <c r="R263" s="142">
        <f>Popn!R$201</f>
        <v>3.3141824932888531E-2</v>
      </c>
      <c r="S263" s="142">
        <f>Popn!S$201</f>
        <v>3.2722195240407981E-2</v>
      </c>
      <c r="T263" s="142">
        <f>Popn!T$201</f>
        <v>3.1873493621774163E-2</v>
      </c>
      <c r="U263" s="142">
        <f>Popn!U$201</f>
        <v>3.3201923296037217E-2</v>
      </c>
      <c r="V263" s="142">
        <f>Popn!V$201</f>
        <v>3.2300397000441183E-2</v>
      </c>
      <c r="W263" s="142">
        <f>Popn!W$201</f>
        <v>3.3041694708842106E-2</v>
      </c>
      <c r="X263" s="142">
        <f>Popn!X$201</f>
        <v>3.2295092138735493E-2</v>
      </c>
    </row>
    <row r="264" spans="1:24" x14ac:dyDescent="0.2">
      <c r="A264" s="28" t="s">
        <v>218</v>
      </c>
      <c r="D264" s="72"/>
      <c r="E264" s="70">
        <f t="shared" ref="E264:X264" si="135">E$247</f>
        <v>4.0196078431372628E-2</v>
      </c>
      <c r="F264" s="70">
        <f t="shared" si="135"/>
        <v>1.8850141376060225E-2</v>
      </c>
      <c r="G264" s="70">
        <f t="shared" si="135"/>
        <v>1.6651248843663202E-2</v>
      </c>
      <c r="H264" s="70">
        <f t="shared" si="135"/>
        <v>5.277525022747942E-2</v>
      </c>
      <c r="I264" s="70">
        <f t="shared" si="135"/>
        <v>9.5073465859982775E-3</v>
      </c>
      <c r="J264" s="125">
        <f t="shared" si="135"/>
        <v>1.0273972602739656E-2</v>
      </c>
      <c r="K264" s="125">
        <f t="shared" si="135"/>
        <v>1.8644067796610209E-2</v>
      </c>
      <c r="L264" s="125">
        <f t="shared" si="135"/>
        <v>1.830282861896837E-2</v>
      </c>
      <c r="M264" s="125">
        <f t="shared" si="135"/>
        <v>2.2058823529411686E-2</v>
      </c>
      <c r="N264" s="125">
        <f t="shared" si="135"/>
        <v>2.2382094324540303E-2</v>
      </c>
      <c r="O264" s="142">
        <f t="shared" ca="1" si="135"/>
        <v>2.0382094324540301E-2</v>
      </c>
      <c r="P264" s="142">
        <f t="shared" ca="1" si="135"/>
        <v>0.02</v>
      </c>
      <c r="Q264" s="142">
        <f t="shared" ca="1" si="135"/>
        <v>0.02</v>
      </c>
      <c r="R264" s="142">
        <f t="shared" ca="1" si="135"/>
        <v>0.02</v>
      </c>
      <c r="S264" s="142">
        <f t="shared" ca="1" si="135"/>
        <v>0.02</v>
      </c>
      <c r="T264" s="142">
        <f t="shared" ca="1" si="135"/>
        <v>0.02</v>
      </c>
      <c r="U264" s="142">
        <f t="shared" ca="1" si="135"/>
        <v>0.02</v>
      </c>
      <c r="V264" s="142">
        <f t="shared" ca="1" si="135"/>
        <v>0.02</v>
      </c>
      <c r="W264" s="142">
        <f t="shared" ca="1" si="135"/>
        <v>0.02</v>
      </c>
      <c r="X264" s="142">
        <f t="shared" ca="1" si="135"/>
        <v>0.02</v>
      </c>
    </row>
    <row r="265" spans="1:24" x14ac:dyDescent="0.2">
      <c r="A265" s="28" t="s">
        <v>176</v>
      </c>
      <c r="D265" s="72"/>
      <c r="E265" s="217">
        <f t="shared" ref="E265:X265" si="136">E$75/D$75 -(1+E$263+E$264)</f>
        <v>1.7560302567893205E-2</v>
      </c>
      <c r="F265" s="217">
        <f t="shared" si="136"/>
        <v>7.6949836555275652E-3</v>
      </c>
      <c r="G265" s="217">
        <f t="shared" si="136"/>
        <v>2.3906161026941763E-2</v>
      </c>
      <c r="H265" s="217">
        <f t="shared" si="136"/>
        <v>-1.9016105796827887E-2</v>
      </c>
      <c r="I265" s="217">
        <f t="shared" si="136"/>
        <v>3.4726336465927599E-2</v>
      </c>
      <c r="J265" s="143">
        <f t="shared" si="136"/>
        <v>1.9479676309042793E-2</v>
      </c>
      <c r="K265" s="143">
        <f t="shared" si="136"/>
        <v>1.0534568923914023E-2</v>
      </c>
      <c r="L265" s="143">
        <f t="shared" si="136"/>
        <v>1.7429797443195838E-3</v>
      </c>
      <c r="M265" s="143">
        <f t="shared" si="136"/>
        <v>-2.183600637748917E-3</v>
      </c>
      <c r="N265" s="143">
        <f t="shared" si="136"/>
        <v>-4.4130215114650539E-3</v>
      </c>
      <c r="O265" s="144">
        <f t="shared" ca="1" si="136"/>
        <v>7.4758989276129117E-3</v>
      </c>
      <c r="P265" s="144">
        <f t="shared" ca="1" si="136"/>
        <v>2.6306451095299277E-3</v>
      </c>
      <c r="Q265" s="144">
        <f t="shared" ca="1" si="136"/>
        <v>4.4913396911556713E-3</v>
      </c>
      <c r="R265" s="144">
        <f t="shared" ca="1" si="136"/>
        <v>1.310006993603241E-2</v>
      </c>
      <c r="S265" s="144">
        <f t="shared" ca="1" si="136"/>
        <v>1.6455093491986483E-2</v>
      </c>
      <c r="T265" s="144">
        <f t="shared" ca="1" si="136"/>
        <v>1.6425134324848711E-2</v>
      </c>
      <c r="U265" s="144">
        <f t="shared" ca="1" si="136"/>
        <v>1.6472027892349805E-2</v>
      </c>
      <c r="V265" s="144">
        <f t="shared" ca="1" si="136"/>
        <v>1.6440204014115389E-2</v>
      </c>
      <c r="W265" s="144">
        <f t="shared" ca="1" si="136"/>
        <v>1.6466371823222525E-2</v>
      </c>
      <c r="X265" s="144">
        <f t="shared" ca="1" si="136"/>
        <v>1.6440016752497399E-2</v>
      </c>
    </row>
    <row r="266" spans="1:24" x14ac:dyDescent="0.2">
      <c r="A266" s="82" t="s">
        <v>177</v>
      </c>
      <c r="D266" s="72"/>
      <c r="E266" s="218">
        <f t="shared" ref="E266:X266" si="137">E$75/D$75 -1</f>
        <v>7.9001468428781196E-2</v>
      </c>
      <c r="F266" s="218">
        <f t="shared" si="137"/>
        <v>5.3892215568862367E-2</v>
      </c>
      <c r="G266" s="218">
        <f t="shared" si="137"/>
        <v>7.0506198347107363E-2</v>
      </c>
      <c r="H266" s="218">
        <f t="shared" si="137"/>
        <v>6.5138721351025497E-2</v>
      </c>
      <c r="I266" s="218">
        <f t="shared" si="137"/>
        <v>8.5390713476783731E-2</v>
      </c>
      <c r="J266" s="120">
        <f t="shared" si="137"/>
        <v>6.7925709515859856E-2</v>
      </c>
      <c r="K266" s="120">
        <f t="shared" si="137"/>
        <v>6.438690766976074E-2</v>
      </c>
      <c r="L266" s="120">
        <f t="shared" si="137"/>
        <v>5.5167982375619484E-2</v>
      </c>
      <c r="M266" s="120">
        <f t="shared" si="137"/>
        <v>5.2805567638103623E-2</v>
      </c>
      <c r="N266" s="120">
        <f t="shared" si="137"/>
        <v>5.0404891753429215E-2</v>
      </c>
      <c r="O266" s="119">
        <f t="shared" ca="1" si="137"/>
        <v>5.9523027937502526E-2</v>
      </c>
      <c r="P266" s="119">
        <f t="shared" ca="1" si="137"/>
        <v>5.4968055710425512E-2</v>
      </c>
      <c r="Q266" s="119">
        <f t="shared" ca="1" si="137"/>
        <v>5.6786999071659183E-2</v>
      </c>
      <c r="R266" s="119">
        <f t="shared" ca="1" si="137"/>
        <v>6.6241894868920959E-2</v>
      </c>
      <c r="S266" s="119">
        <f t="shared" ca="1" si="137"/>
        <v>6.9177288732394482E-2</v>
      </c>
      <c r="T266" s="119">
        <f t="shared" ca="1" si="137"/>
        <v>6.8298627946622892E-2</v>
      </c>
      <c r="U266" s="119">
        <f t="shared" ca="1" si="137"/>
        <v>6.967395118838704E-2</v>
      </c>
      <c r="V266" s="119">
        <f t="shared" ca="1" si="137"/>
        <v>6.874060101455659E-2</v>
      </c>
      <c r="W266" s="119">
        <f t="shared" ca="1" si="137"/>
        <v>6.950806653206465E-2</v>
      </c>
      <c r="X266" s="119">
        <f t="shared" ca="1" si="137"/>
        <v>6.873510889123291E-2</v>
      </c>
    </row>
    <row r="267" spans="1:24" x14ac:dyDescent="0.2">
      <c r="A267" s="27" t="s">
        <v>178</v>
      </c>
      <c r="D267" s="72"/>
      <c r="E267" s="72"/>
      <c r="F267" s="72"/>
      <c r="G267" s="72"/>
      <c r="H267" s="72"/>
      <c r="I267" s="72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 s="28" t="s">
        <v>175</v>
      </c>
      <c r="D268" s="72"/>
      <c r="E268" s="70">
        <f>SUM(D$77*(SUMPRODUCT(Popn!E$204:E$214,Tracks!$F$88:$F$98)+SUMPRODUCT(Popn!E$215:E$225,Tracks!$G$88:$G$98))*AVERAGE(0,E$251*E$254/(D$251*D$254)-1),D$78*(SUMPRODUCT(Popn!E$204:E$214,Tracks!$D$88:$D$98)+SUMPRODUCT(Popn!E$215:E$225,Tracks!$E$88:$E$98)),D$79*(SUMPRODUCT(Popn!E$204:E$214,Tracks!$B$88:$B$98)+SUMPRODUCT(Popn!E$215:E$225,Tracks!$C$88:$C$98)),D$80*Popn!E$202,SUM(D$82:D$85)*Popn!E$203)/(D$87-D$75)</f>
        <v>3.7078593244477334E-3</v>
      </c>
      <c r="F268" s="70">
        <f>SUM(E$77*(SUMPRODUCT(Popn!F$204:F$214,Tracks!$F$88:$F$98)+SUMPRODUCT(Popn!F$215:F$225,Tracks!$G$88:$G$98))*AVERAGE(0,F$251*F$254/(E$251*E$254)-1),E$78*(SUMPRODUCT(Popn!F$204:F$214,Tracks!$D$88:$D$98)+SUMPRODUCT(Popn!F$215:F$225,Tracks!$E$88:$E$98)),E$79*(SUMPRODUCT(Popn!F$204:F$214,Tracks!$B$88:$B$98)+SUMPRODUCT(Popn!F$215:F$225,Tracks!$C$88:$C$98)),E$80*Popn!F$202,SUM(E$82:E$85)*Popn!F$203)/(E$87-E$75)</f>
        <v>3.7177524425855259E-3</v>
      </c>
      <c r="G268" s="70">
        <f>SUM(F$77*(SUMPRODUCT(Popn!G$204:G$214,Tracks!$F$88:$F$98)+SUMPRODUCT(Popn!G$215:G$225,Tracks!$G$88:$G$98))*AVERAGE(0,G$251*G$254/(F$251*F$254)-1),F$78*(SUMPRODUCT(Popn!G$204:G$214,Tracks!$D$88:$D$98)+SUMPRODUCT(Popn!G$215:G$225,Tracks!$E$88:$E$98)),F$79*(SUMPRODUCT(Popn!G$204:G$214,Tracks!$B$88:$B$98)+SUMPRODUCT(Popn!G$215:G$225,Tracks!$C$88:$C$98)),F$80*Popn!G$202,SUM(F$82:F$85)*Popn!G$203)/(F$87-F$75)</f>
        <v>4.1982766730218309E-3</v>
      </c>
      <c r="H268" s="70">
        <f>SUM(G$77*(SUMPRODUCT(Popn!H$204:H$214,Tracks!$F$88:$F$98)+SUMPRODUCT(Popn!H$215:H$225,Tracks!$G$88:$G$98))*AVERAGE(0,H$251*H$254/(G$251*G$254)-1),G$78*(SUMPRODUCT(Popn!H$204:H$214,Tracks!$D$88:$D$98)+SUMPRODUCT(Popn!H$215:H$225,Tracks!$E$88:$E$98)),G$79*(SUMPRODUCT(Popn!H$204:H$214,Tracks!$B$88:$B$98)+SUMPRODUCT(Popn!H$215:H$225,Tracks!$C$88:$C$98)),G$80*Popn!H$202,SUM(G$82:G$85)*Popn!H$203)/(G$87-G$75)</f>
        <v>2.3988460214112457E-3</v>
      </c>
      <c r="I268" s="70">
        <f>SUM(H$77*(SUMPRODUCT(Popn!I$204:I$214,Tracks!$F$88:$F$98)+SUMPRODUCT(Popn!I$215:I$225,Tracks!$G$88:$G$98))*AVERAGE(0,I$251*I$254/(H$251*H$254)-1),H$78*(SUMPRODUCT(Popn!I$204:I$214,Tracks!$D$88:$D$98)+SUMPRODUCT(Popn!I$215:I$225,Tracks!$E$88:$E$98)),H$79*(SUMPRODUCT(Popn!I$204:I$214,Tracks!$B$88:$B$98)+SUMPRODUCT(Popn!I$215:I$225,Tracks!$C$88:$C$98)),H$80*Popn!I$202,SUM(H$82:H$85)*Popn!I$203)/(H$87-H$75)</f>
        <v>1.4363308239299915E-3</v>
      </c>
      <c r="J268" s="125">
        <f>SUM(I$77*(SUMPRODUCT(Popn!J$204:J$214,Tracks!$F$88:$F$98)+SUMPRODUCT(Popn!J$215:J$225,Tracks!$G$88:$G$98))*AVERAGE(0,J$251*J$254/(I$251*I$254)-1),I$78*(SUMPRODUCT(Popn!J$204:J$214,Tracks!$D$88:$D$98)+SUMPRODUCT(Popn!J$215:J$225,Tracks!$E$88:$E$98)),I$79*(SUMPRODUCT(Popn!J$204:J$214,Tracks!$B$88:$B$98)+SUMPRODUCT(Popn!J$215:J$225,Tracks!$C$88:$C$98)),I$80*Popn!J$202,SUM(I$82:I$85)*Popn!J$203)/(I$87-I$75)</f>
        <v>1.7909371186914326E-3</v>
      </c>
      <c r="K268" s="125">
        <f ca="1">SUM(J$77*(SUMPRODUCT(Popn!K$204:K$214,Tracks!$F$88:$F$98)+SUMPRODUCT(Popn!K$215:K$225,Tracks!$G$88:$G$98))*AVERAGE(0,K$251*K$254/(J$251*J$254)-1),J$78*(SUMPRODUCT(Popn!K$204:K$214,Tracks!$D$88:$D$98)+SUMPRODUCT(Popn!K$215:K$225,Tracks!$E$88:$E$98)),J$79*(SUMPRODUCT(Popn!K$204:K$214,Tracks!$B$88:$B$98)+SUMPRODUCT(Popn!K$215:K$225,Tracks!$C$88:$C$98)),J$80*Popn!K$202,SUM(J$82:J$85)*Popn!K$203)/(J$87-J$75)</f>
        <v>2.4219546531144588E-3</v>
      </c>
      <c r="L268" s="125">
        <f ca="1">SUM(K$77*(SUMPRODUCT(Popn!L$204:L$214,Tracks!$F$88:$F$98)+SUMPRODUCT(Popn!L$215:L$225,Tracks!$G$88:$G$98))*AVERAGE(0,L$251*L$254/(K$251*K$254)-1),K$78*(SUMPRODUCT(Popn!L$204:L$214,Tracks!$D$88:$D$98)+SUMPRODUCT(Popn!L$215:L$225,Tracks!$E$88:$E$98)),K$79*(SUMPRODUCT(Popn!L$204:L$214,Tracks!$B$88:$B$98)+SUMPRODUCT(Popn!L$215:L$225,Tracks!$C$88:$C$98)),K$80*Popn!L$202,SUM(K$82:K$85)*Popn!L$203)/(K$87-K$75)</f>
        <v>4.6203422673170812E-3</v>
      </c>
      <c r="M268" s="125">
        <f ca="1">SUM(L$77*(SUMPRODUCT(Popn!M$204:M$214,Tracks!$F$88:$F$98)+SUMPRODUCT(Popn!M$215:M$225,Tracks!$G$88:$G$98))*AVERAGE(0,M$251*M$254/(L$251*L$254)-1),L$78*(SUMPRODUCT(Popn!M$204:M$214,Tracks!$D$88:$D$98)+SUMPRODUCT(Popn!M$215:M$225,Tracks!$E$88:$E$98)),L$79*(SUMPRODUCT(Popn!M$204:M$214,Tracks!$B$88:$B$98)+SUMPRODUCT(Popn!M$215:M$225,Tracks!$C$88:$C$98)),L$80*Popn!M$202,SUM(L$82:L$85)*Popn!M$203)/(L$87-L$75)</f>
        <v>4.7508187245477191E-3</v>
      </c>
      <c r="N268" s="125">
        <f ca="1">SUM(M$77*(SUMPRODUCT(Popn!N$204:N$214,Tracks!$F$88:$F$98)+SUMPRODUCT(Popn!N$215:N$225,Tracks!$G$88:$G$98))*AVERAGE(0,N$251*N$254/(M$251*M$254)-1),M$78*(SUMPRODUCT(Popn!N$204:N$214,Tracks!$D$88:$D$98)+SUMPRODUCT(Popn!N$215:N$225,Tracks!$E$88:$E$98)),M$79*(SUMPRODUCT(Popn!N$204:N$214,Tracks!$B$88:$B$98)+SUMPRODUCT(Popn!N$215:N$225,Tracks!$C$88:$C$98)),M$80*Popn!N$202,SUM(M$82:M$85)*Popn!N$203)/(M$87-M$75)</f>
        <v>4.4987087819193267E-3</v>
      </c>
      <c r="O268" s="142">
        <f ca="1">SUM(N$77*(SUMPRODUCT(Popn!O$204:O$214,Tracks!$F$88:$F$98)+SUMPRODUCT(Popn!O$215:O$225,Tracks!$G$88:$G$98))*AVERAGE(0,O$251*O$254/(N$251*N$254)-1),N$78*(SUMPRODUCT(Popn!O$204:O$214,Tracks!$D$88:$D$98)+SUMPRODUCT(Popn!O$215:O$225,Tracks!$E$88:$E$98)),N$79*(SUMPRODUCT(Popn!O$204:O$214,Tracks!$B$88:$B$98)+SUMPRODUCT(Popn!O$215:O$225,Tracks!$C$88:$C$98)),N$80*Popn!O$202,SUM(N$82:N$85)*Popn!O$203)/(N$87-N$75)</f>
        <v>4.6967136971895439E-3</v>
      </c>
      <c r="P268" s="142">
        <f ca="1">SUM(O$77*(SUMPRODUCT(Popn!P$204:P$214,Tracks!$F$88:$F$98)+SUMPRODUCT(Popn!P$215:P$225,Tracks!$G$88:$G$98))*AVERAGE(0,P$251*P$254/(O$251*O$254)-1),O$78*(SUMPRODUCT(Popn!P$204:P$214,Tracks!$D$88:$D$98)+SUMPRODUCT(Popn!P$215:P$225,Tracks!$E$88:$E$98)),O$79*(SUMPRODUCT(Popn!P$204:P$214,Tracks!$B$88:$B$98)+SUMPRODUCT(Popn!P$215:P$225,Tracks!$C$88:$C$98)),O$80*Popn!P$202,SUM(O$82:O$85)*Popn!P$203)/(O$87-O$75)</f>
        <v>4.5039556972579975E-3</v>
      </c>
      <c r="Q268" s="142">
        <f ca="1">SUM(P$77*(SUMPRODUCT(Popn!Q$204:Q$214,Tracks!$F$88:$F$98)+SUMPRODUCT(Popn!Q$215:Q$225,Tracks!$G$88:$G$98))*AVERAGE(0,Q$251*Q$254/(P$251*P$254)-1),P$78*(SUMPRODUCT(Popn!Q$204:Q$214,Tracks!$D$88:$D$98)+SUMPRODUCT(Popn!Q$215:Q$225,Tracks!$E$88:$E$98)),P$79*(SUMPRODUCT(Popn!Q$204:Q$214,Tracks!$B$88:$B$98)+SUMPRODUCT(Popn!Q$215:Q$225,Tracks!$C$88:$C$98)),P$80*Popn!Q$202,SUM(P$82:P$85)*Popn!Q$203)/(P$87-P$75)</f>
        <v>4.5959101591132086E-3</v>
      </c>
      <c r="R268" s="142">
        <f ca="1">SUM(Q$77*(SUMPRODUCT(Popn!R$204:R$214,Tracks!$F$88:$F$98)+SUMPRODUCT(Popn!R$215:R$225,Tracks!$G$88:$G$98))*AVERAGE(0,R$251*R$254/(Q$251*Q$254)-1),Q$78*(SUMPRODUCT(Popn!R$204:R$214,Tracks!$D$88:$D$98)+SUMPRODUCT(Popn!R$215:R$225,Tracks!$E$88:$E$98)),Q$79*(SUMPRODUCT(Popn!R$204:R$214,Tracks!$B$88:$B$98)+SUMPRODUCT(Popn!R$215:R$225,Tracks!$C$88:$C$98)),Q$80*Popn!R$202,SUM(Q$82:Q$85)*Popn!R$203)/(Q$87-Q$75)</f>
        <v>4.8426943876725423E-3</v>
      </c>
      <c r="S268" s="142">
        <f ca="1">SUM(R$77*(SUMPRODUCT(Popn!S$204:S$214,Tracks!$F$88:$F$98)+SUMPRODUCT(Popn!S$215:S$225,Tracks!$G$88:$G$98))*AVERAGE(0,S$251*S$254/(R$251*R$254)-1),R$78*(SUMPRODUCT(Popn!S$204:S$214,Tracks!$D$88:$D$98)+SUMPRODUCT(Popn!S$215:S$225,Tracks!$E$88:$E$98)),R$79*(SUMPRODUCT(Popn!S$204:S$214,Tracks!$B$88:$B$98)+SUMPRODUCT(Popn!S$215:S$225,Tracks!$C$88:$C$98)),R$80*Popn!S$202,SUM(R$82:R$85)*Popn!S$203)/(R$87-R$75)</f>
        <v>4.9253408925769146E-3</v>
      </c>
      <c r="T268" s="142">
        <f ca="1">SUM(S$77*(SUMPRODUCT(Popn!T$204:T$214,Tracks!$F$88:$F$98)+SUMPRODUCT(Popn!T$215:T$225,Tracks!$G$88:$G$98))*AVERAGE(0,T$251*T$254/(S$251*S$254)-1),S$78*(SUMPRODUCT(Popn!T$204:T$214,Tracks!$D$88:$D$98)+SUMPRODUCT(Popn!T$215:T$225,Tracks!$E$88:$E$98)),S$79*(SUMPRODUCT(Popn!T$204:T$214,Tracks!$B$88:$B$98)+SUMPRODUCT(Popn!T$215:T$225,Tracks!$C$88:$C$98)),S$80*Popn!T$202,SUM(S$82:S$85)*Popn!T$203)/(S$87-S$75)</f>
        <v>4.7656602733080027E-3</v>
      </c>
      <c r="U268" s="142">
        <f ca="1">SUM(T$77*(SUMPRODUCT(Popn!U$204:U$214,Tracks!$F$88:$F$98)+SUMPRODUCT(Popn!U$215:U$225,Tracks!$G$88:$G$98))*AVERAGE(0,U$251*U$254/(T$251*T$254)-1),T$78*(SUMPRODUCT(Popn!U$204:U$214,Tracks!$D$88:$D$98)+SUMPRODUCT(Popn!U$215:U$225,Tracks!$E$88:$E$98)),T$79*(SUMPRODUCT(Popn!U$204:U$214,Tracks!$B$88:$B$98)+SUMPRODUCT(Popn!U$215:U$225,Tracks!$C$88:$C$98)),T$80*Popn!U$202,SUM(T$82:T$85)*Popn!U$203)/(T$87-T$75)</f>
        <v>4.6889710737195826E-3</v>
      </c>
      <c r="V268" s="142">
        <f ca="1">SUM(U$77*(SUMPRODUCT(Popn!V$204:V$214,Tracks!$F$88:$F$98)+SUMPRODUCT(Popn!V$215:V$225,Tracks!$G$88:$G$98))*AVERAGE(0,V$251*V$254/(U$251*U$254)-1),U$78*(SUMPRODUCT(Popn!V$204:V$214,Tracks!$D$88:$D$98)+SUMPRODUCT(Popn!V$215:V$225,Tracks!$E$88:$E$98)),U$79*(SUMPRODUCT(Popn!V$204:V$214,Tracks!$B$88:$B$98)+SUMPRODUCT(Popn!V$215:V$225,Tracks!$C$88:$C$98)),U$80*Popn!V$202,SUM(U$82:U$85)*Popn!V$203)/(U$87-U$75)</f>
        <v>4.5049935119708751E-3</v>
      </c>
      <c r="W268" s="142">
        <f ca="1">SUM(V$77*(SUMPRODUCT(Popn!W$204:W$214,Tracks!$F$88:$F$98)+SUMPRODUCT(Popn!W$215:W$225,Tracks!$G$88:$G$98))*AVERAGE(0,W$251*W$254/(V$251*V$254)-1),V$78*(SUMPRODUCT(Popn!W$204:W$214,Tracks!$D$88:$D$98)+SUMPRODUCT(Popn!W$215:W$225,Tracks!$E$88:$E$98)),V$79*(SUMPRODUCT(Popn!W$204:W$214,Tracks!$B$88:$B$98)+SUMPRODUCT(Popn!W$215:W$225,Tracks!$C$88:$C$98)),V$80*Popn!W$202,SUM(V$82:V$85)*Popn!W$203)/(V$87-V$75)</f>
        <v>4.061201487639365E-3</v>
      </c>
      <c r="X268" s="142">
        <f ca="1">SUM(W$77*(SUMPRODUCT(Popn!X$204:X$214,Tracks!$F$88:$F$98)+SUMPRODUCT(Popn!X$215:X$225,Tracks!$G$88:$G$98))*AVERAGE(0,X$251*X$254/(W$251*W$254)-1),W$78*(SUMPRODUCT(Popn!X$204:X$214,Tracks!$D$88:$D$98)+SUMPRODUCT(Popn!X$215:X$225,Tracks!$E$88:$E$98)),W$79*(SUMPRODUCT(Popn!X$204:X$214,Tracks!$B$88:$B$98)+SUMPRODUCT(Popn!X$215:X$225,Tracks!$C$88:$C$98)),W$80*Popn!X$202,SUM(W$82:W$85)*Popn!X$203)/(W$87-W$75)</f>
        <v>3.5811370843147586E-3</v>
      </c>
    </row>
    <row r="269" spans="1:24" x14ac:dyDescent="0.2">
      <c r="A269" s="28" t="s">
        <v>218</v>
      </c>
      <c r="D269" s="72"/>
      <c r="E269" s="70">
        <f t="shared" ref="E269:X269" si="138">E$247</f>
        <v>4.0196078431372628E-2</v>
      </c>
      <c r="F269" s="70">
        <f t="shared" si="138"/>
        <v>1.8850141376060225E-2</v>
      </c>
      <c r="G269" s="70">
        <f t="shared" si="138"/>
        <v>1.6651248843663202E-2</v>
      </c>
      <c r="H269" s="70">
        <f t="shared" si="138"/>
        <v>5.277525022747942E-2</v>
      </c>
      <c r="I269" s="70">
        <f t="shared" si="138"/>
        <v>9.5073465859982775E-3</v>
      </c>
      <c r="J269" s="125">
        <f t="shared" si="138"/>
        <v>1.0273972602739656E-2</v>
      </c>
      <c r="K269" s="125">
        <f t="shared" si="138"/>
        <v>1.8644067796610209E-2</v>
      </c>
      <c r="L269" s="125">
        <f t="shared" si="138"/>
        <v>1.830282861896837E-2</v>
      </c>
      <c r="M269" s="125">
        <f t="shared" si="138"/>
        <v>2.2058823529411686E-2</v>
      </c>
      <c r="N269" s="125">
        <f t="shared" si="138"/>
        <v>2.2382094324540303E-2</v>
      </c>
      <c r="O269" s="142">
        <f t="shared" ca="1" si="138"/>
        <v>2.0382094324540301E-2</v>
      </c>
      <c r="P269" s="142">
        <f t="shared" ca="1" si="138"/>
        <v>0.02</v>
      </c>
      <c r="Q269" s="142">
        <f t="shared" ca="1" si="138"/>
        <v>0.02</v>
      </c>
      <c r="R269" s="142">
        <f t="shared" ca="1" si="138"/>
        <v>0.02</v>
      </c>
      <c r="S269" s="142">
        <f t="shared" ca="1" si="138"/>
        <v>0.02</v>
      </c>
      <c r="T269" s="142">
        <f t="shared" ca="1" si="138"/>
        <v>0.02</v>
      </c>
      <c r="U269" s="142">
        <f t="shared" ca="1" si="138"/>
        <v>0.02</v>
      </c>
      <c r="V269" s="142">
        <f t="shared" ca="1" si="138"/>
        <v>0.02</v>
      </c>
      <c r="W269" s="142">
        <f t="shared" ca="1" si="138"/>
        <v>0.02</v>
      </c>
      <c r="X269" s="142">
        <f t="shared" ca="1" si="138"/>
        <v>0.02</v>
      </c>
    </row>
    <row r="270" spans="1:24" x14ac:dyDescent="0.2">
      <c r="A270" s="28" t="s">
        <v>181</v>
      </c>
      <c r="D270" s="72"/>
      <c r="E270" s="217">
        <f t="shared" ref="E270:X270" si="139">(E$87-E$75)/(D$87-D$75) -(1+E$268+E$269)</f>
        <v>1.3436893736446853E-2</v>
      </c>
      <c r="F270" s="217">
        <f t="shared" si="139"/>
        <v>8.2760247505316853E-2</v>
      </c>
      <c r="G270" s="217">
        <f t="shared" si="139"/>
        <v>8.7158723323321752E-2</v>
      </c>
      <c r="H270" s="217">
        <f t="shared" si="139"/>
        <v>-3.3460253674249429E-2</v>
      </c>
      <c r="I270" s="217">
        <f t="shared" si="139"/>
        <v>-6.6427548377670176E-2</v>
      </c>
      <c r="J270" s="143">
        <f t="shared" ca="1" si="139"/>
        <v>5.1321330300959644E-3</v>
      </c>
      <c r="K270" s="143">
        <f t="shared" ca="1" si="139"/>
        <v>-1.7668961302624409E-2</v>
      </c>
      <c r="L270" s="143">
        <f t="shared" ca="1" si="139"/>
        <v>-2.9694291270506934E-2</v>
      </c>
      <c r="M270" s="143">
        <f t="shared" ca="1" si="139"/>
        <v>-4.1316182087491105E-2</v>
      </c>
      <c r="N270" s="143">
        <f t="shared" ca="1" si="139"/>
        <v>-1.8676169901826301E-2</v>
      </c>
      <c r="O270" s="144">
        <f t="shared" ca="1" si="139"/>
        <v>-2.602188043001763E-2</v>
      </c>
      <c r="P270" s="144">
        <f t="shared" ca="1" si="139"/>
        <v>-3.8188825318821173E-3</v>
      </c>
      <c r="Q270" s="144">
        <f t="shared" ca="1" si="139"/>
        <v>-3.38107405121435E-3</v>
      </c>
      <c r="R270" s="144">
        <f t="shared" ca="1" si="139"/>
        <v>-3.411787571868663E-3</v>
      </c>
      <c r="S270" s="144">
        <f t="shared" ca="1" si="139"/>
        <v>-3.2312037453527953E-3</v>
      </c>
      <c r="T270" s="144">
        <f t="shared" ca="1" si="139"/>
        <v>-2.11549069658723E-3</v>
      </c>
      <c r="U270" s="144">
        <f t="shared" ca="1" si="139"/>
        <v>-1.5738266446021498E-3</v>
      </c>
      <c r="V270" s="144">
        <f t="shared" ca="1" si="139"/>
        <v>-1.3861845837661591E-3</v>
      </c>
      <c r="W270" s="144">
        <f t="shared" ca="1" si="139"/>
        <v>-1.2691102035549129E-3</v>
      </c>
      <c r="X270" s="144">
        <f t="shared" ca="1" si="139"/>
        <v>-1.3441216922065458E-3</v>
      </c>
    </row>
    <row r="271" spans="1:24" x14ac:dyDescent="0.2">
      <c r="A271" s="82" t="s">
        <v>177</v>
      </c>
      <c r="D271" s="72"/>
      <c r="E271" s="218">
        <f t="shared" ref="E271:X271" si="140">(E$87-E$75)/(D$87-D$75) -1</f>
        <v>5.7340831492267208E-2</v>
      </c>
      <c r="F271" s="218">
        <f t="shared" si="140"/>
        <v>0.10532814132396262</v>
      </c>
      <c r="G271" s="218">
        <f t="shared" si="140"/>
        <v>0.1080082488400067</v>
      </c>
      <c r="H271" s="218">
        <f t="shared" si="140"/>
        <v>2.1713842574641262E-2</v>
      </c>
      <c r="I271" s="218">
        <f t="shared" si="140"/>
        <v>-5.5483870967741877E-2</v>
      </c>
      <c r="J271" s="120">
        <f t="shared" ca="1" si="140"/>
        <v>1.7197042751527114E-2</v>
      </c>
      <c r="K271" s="120">
        <f t="shared" ca="1" si="140"/>
        <v>3.3970611471003664E-3</v>
      </c>
      <c r="L271" s="120">
        <f t="shared" ca="1" si="140"/>
        <v>-6.7711203842215628E-3</v>
      </c>
      <c r="M271" s="120">
        <f t="shared" ca="1" si="140"/>
        <v>-1.4506539833531673E-2</v>
      </c>
      <c r="N271" s="120">
        <f t="shared" ca="1" si="140"/>
        <v>8.2046332046332715E-3</v>
      </c>
      <c r="O271" s="119">
        <f t="shared" ca="1" si="140"/>
        <v>-9.430724082877262E-4</v>
      </c>
      <c r="P271" s="119">
        <f t="shared" ca="1" si="140"/>
        <v>2.0685073165375822E-2</v>
      </c>
      <c r="Q271" s="119">
        <f t="shared" ca="1" si="140"/>
        <v>2.1214836107898982E-2</v>
      </c>
      <c r="R271" s="119">
        <f t="shared" ca="1" si="140"/>
        <v>2.1430906815803841E-2</v>
      </c>
      <c r="S271" s="119">
        <f t="shared" ca="1" si="140"/>
        <v>2.1694137147224124E-2</v>
      </c>
      <c r="T271" s="119">
        <f t="shared" ca="1" si="140"/>
        <v>2.2650169576720725E-2</v>
      </c>
      <c r="U271" s="119">
        <f t="shared" ca="1" si="140"/>
        <v>2.3115144429117551E-2</v>
      </c>
      <c r="V271" s="119">
        <f t="shared" ca="1" si="140"/>
        <v>2.3118808928204837E-2</v>
      </c>
      <c r="W271" s="119">
        <f t="shared" ca="1" si="140"/>
        <v>2.2792091284084437E-2</v>
      </c>
      <c r="X271" s="119">
        <f t="shared" ca="1" si="140"/>
        <v>2.2237015392108317E-2</v>
      </c>
    </row>
    <row r="272" spans="1:24" x14ac:dyDescent="0.2">
      <c r="A272" s="27" t="s">
        <v>432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</row>
    <row r="273" spans="1:24" x14ac:dyDescent="0.2">
      <c r="A273" s="28" t="s">
        <v>175</v>
      </c>
      <c r="D273" s="72"/>
      <c r="E273" s="70">
        <f t="shared" ref="E273:X273" si="141">SUM(E$105,E$106)/SUM(D$105,D$106)-1</f>
        <v>1.6397870270594916E-2</v>
      </c>
      <c r="F273" s="70">
        <f t="shared" si="141"/>
        <v>1.711707705029486E-2</v>
      </c>
      <c r="G273" s="70">
        <f t="shared" si="141"/>
        <v>1.8741381994941353E-2</v>
      </c>
      <c r="H273" s="70">
        <f t="shared" si="141"/>
        <v>1.5889953073744634E-2</v>
      </c>
      <c r="I273" s="70">
        <f t="shared" si="141"/>
        <v>1.3678687421145419E-2</v>
      </c>
      <c r="J273" s="125">
        <f t="shared" si="141"/>
        <v>1.3283785605454401E-2</v>
      </c>
      <c r="K273" s="125">
        <f t="shared" si="141"/>
        <v>1.4689458309397274E-2</v>
      </c>
      <c r="L273" s="125">
        <f t="shared" si="141"/>
        <v>1.5898196228698369E-2</v>
      </c>
      <c r="M273" s="125">
        <f t="shared" si="141"/>
        <v>1.6476777356024819E-2</v>
      </c>
      <c r="N273" s="125">
        <f t="shared" si="141"/>
        <v>1.6967393891114124E-2</v>
      </c>
      <c r="O273" s="142">
        <f t="shared" si="141"/>
        <v>1.6212064152021366E-2</v>
      </c>
      <c r="P273" s="142">
        <f t="shared" si="141"/>
        <v>1.6436999112397599E-2</v>
      </c>
      <c r="Q273" s="142">
        <f t="shared" si="141"/>
        <v>1.6594077278740738E-2</v>
      </c>
      <c r="R273" s="142">
        <f t="shared" si="141"/>
        <v>1.6979353243258943E-2</v>
      </c>
      <c r="S273" s="142">
        <f t="shared" si="141"/>
        <v>1.7554871323708365E-2</v>
      </c>
      <c r="T273" s="142">
        <f t="shared" si="141"/>
        <v>1.6640666263334269E-2</v>
      </c>
      <c r="U273" s="142">
        <f t="shared" si="141"/>
        <v>1.6747855622376573E-2</v>
      </c>
      <c r="V273" s="142">
        <f t="shared" si="141"/>
        <v>1.6793340128973933E-2</v>
      </c>
      <c r="W273" s="142">
        <f t="shared" si="141"/>
        <v>1.6926368023884031E-2</v>
      </c>
      <c r="X273" s="142">
        <f t="shared" si="141"/>
        <v>1.7172716774673358E-2</v>
      </c>
    </row>
    <row r="274" spans="1:24" x14ac:dyDescent="0.2">
      <c r="A274" s="28" t="s">
        <v>218</v>
      </c>
      <c r="D274" s="72"/>
      <c r="E274" s="70">
        <f t="shared" ref="E274:X274" si="142">E$247</f>
        <v>4.0196078431372628E-2</v>
      </c>
      <c r="F274" s="70">
        <f t="shared" si="142"/>
        <v>1.8850141376060225E-2</v>
      </c>
      <c r="G274" s="70">
        <f t="shared" si="142"/>
        <v>1.6651248843663202E-2</v>
      </c>
      <c r="H274" s="70">
        <f t="shared" si="142"/>
        <v>5.277525022747942E-2</v>
      </c>
      <c r="I274" s="70">
        <f t="shared" si="142"/>
        <v>9.5073465859982775E-3</v>
      </c>
      <c r="J274" s="125">
        <f t="shared" si="142"/>
        <v>1.0273972602739656E-2</v>
      </c>
      <c r="K274" s="125">
        <f t="shared" si="142"/>
        <v>1.8644067796610209E-2</v>
      </c>
      <c r="L274" s="125">
        <f t="shared" si="142"/>
        <v>1.830282861896837E-2</v>
      </c>
      <c r="M274" s="125">
        <f t="shared" si="142"/>
        <v>2.2058823529411686E-2</v>
      </c>
      <c r="N274" s="125">
        <f t="shared" si="142"/>
        <v>2.2382094324540303E-2</v>
      </c>
      <c r="O274" s="142">
        <f t="shared" ca="1" si="142"/>
        <v>2.0382094324540301E-2</v>
      </c>
      <c r="P274" s="142">
        <f t="shared" ca="1" si="142"/>
        <v>0.02</v>
      </c>
      <c r="Q274" s="142">
        <f t="shared" ca="1" si="142"/>
        <v>0.02</v>
      </c>
      <c r="R274" s="142">
        <f t="shared" ca="1" si="142"/>
        <v>0.02</v>
      </c>
      <c r="S274" s="142">
        <f t="shared" ca="1" si="142"/>
        <v>0.02</v>
      </c>
      <c r="T274" s="142">
        <f t="shared" ca="1" si="142"/>
        <v>0.02</v>
      </c>
      <c r="U274" s="142">
        <f t="shared" ca="1" si="142"/>
        <v>0.02</v>
      </c>
      <c r="V274" s="142">
        <f t="shared" ca="1" si="142"/>
        <v>0.02</v>
      </c>
      <c r="W274" s="142">
        <f t="shared" ca="1" si="142"/>
        <v>0.02</v>
      </c>
      <c r="X274" s="142">
        <f t="shared" ca="1" si="142"/>
        <v>0.02</v>
      </c>
    </row>
    <row r="275" spans="1:24" x14ac:dyDescent="0.2">
      <c r="A275" s="28" t="s">
        <v>183</v>
      </c>
      <c r="D275" s="72"/>
      <c r="E275" s="217">
        <f t="shared" ref="E275:X275" si="143">E$103/D$103 -(1+E$273+E$274)</f>
        <v>3.4376596928162861E-2</v>
      </c>
      <c r="F275" s="217">
        <f t="shared" si="143"/>
        <v>5.8836711820613008E-2</v>
      </c>
      <c r="G275" s="217">
        <f t="shared" si="143"/>
        <v>2.6056269549493694E-2</v>
      </c>
      <c r="H275" s="217">
        <f t="shared" si="143"/>
        <v>-2.1057037548634083E-2</v>
      </c>
      <c r="I275" s="217">
        <f t="shared" si="143"/>
        <v>6.4075092197886097E-3</v>
      </c>
      <c r="J275" s="143">
        <f t="shared" ca="1" si="143"/>
        <v>2.2896994189245401E-3</v>
      </c>
      <c r="K275" s="143">
        <f t="shared" ca="1" si="143"/>
        <v>-4.1444857645507316E-3</v>
      </c>
      <c r="L275" s="143">
        <f t="shared" ca="1" si="143"/>
        <v>-3.8883299095158308E-2</v>
      </c>
      <c r="M275" s="143">
        <f t="shared" ca="1" si="143"/>
        <v>-3.6519471853178498E-2</v>
      </c>
      <c r="N275" s="143">
        <f t="shared" ca="1" si="143"/>
        <v>-4.0825008001033392E-2</v>
      </c>
      <c r="O275" s="144">
        <f t="shared" ca="1" si="143"/>
        <v>-3.6594158476561667E-2</v>
      </c>
      <c r="P275" s="144">
        <f t="shared" ca="1" si="143"/>
        <v>-3.6436999112397617E-2</v>
      </c>
      <c r="Q275" s="144">
        <f t="shared" ca="1" si="143"/>
        <v>-3.6594077278740755E-2</v>
      </c>
      <c r="R275" s="144">
        <f t="shared" ca="1" si="143"/>
        <v>-3.6979353243258961E-2</v>
      </c>
      <c r="S275" s="144">
        <f t="shared" ca="1" si="143"/>
        <v>-3.7554871323708383E-2</v>
      </c>
      <c r="T275" s="144">
        <f t="shared" ca="1" si="143"/>
        <v>-3.6640666263334287E-2</v>
      </c>
      <c r="U275" s="144">
        <f t="shared" ca="1" si="143"/>
        <v>-3.6747855622376591E-2</v>
      </c>
      <c r="V275" s="144">
        <f t="shared" ca="1" si="143"/>
        <v>-3.679334012897395E-2</v>
      </c>
      <c r="W275" s="144">
        <f t="shared" ca="1" si="143"/>
        <v>-3.6926368023884049E-2</v>
      </c>
      <c r="X275" s="144">
        <f t="shared" ca="1" si="143"/>
        <v>-3.7172716774673376E-2</v>
      </c>
    </row>
    <row r="276" spans="1:24" x14ac:dyDescent="0.2">
      <c r="A276" s="82" t="s">
        <v>177</v>
      </c>
      <c r="D276" s="72"/>
      <c r="E276" s="218">
        <f t="shared" ref="E276:X276" si="144">E$103/D$103 -1</f>
        <v>9.0970545630130406E-2</v>
      </c>
      <c r="F276" s="218">
        <f t="shared" si="144"/>
        <v>9.4803930246968093E-2</v>
      </c>
      <c r="G276" s="218">
        <f t="shared" si="144"/>
        <v>6.1448900388098249E-2</v>
      </c>
      <c r="H276" s="218">
        <f t="shared" si="144"/>
        <v>4.760816575258997E-2</v>
      </c>
      <c r="I276" s="218">
        <f t="shared" si="144"/>
        <v>2.9593543226932306E-2</v>
      </c>
      <c r="J276" s="120">
        <f t="shared" ca="1" si="144"/>
        <v>2.5847457627118597E-2</v>
      </c>
      <c r="K276" s="120">
        <f t="shared" ca="1" si="144"/>
        <v>2.9189040341456751E-2</v>
      </c>
      <c r="L276" s="120">
        <f t="shared" ca="1" si="144"/>
        <v>-4.6822742474915691E-3</v>
      </c>
      <c r="M276" s="120">
        <f t="shared" ca="1" si="144"/>
        <v>2.0161290322580072E-3</v>
      </c>
      <c r="N276" s="120">
        <f t="shared" ca="1" si="144"/>
        <v>-1.4755197853789648E-3</v>
      </c>
      <c r="O276" s="119">
        <f t="shared" ca="1" si="144"/>
        <v>0</v>
      </c>
      <c r="P276" s="119">
        <f t="shared" ca="1" si="144"/>
        <v>0</v>
      </c>
      <c r="Q276" s="119">
        <f t="shared" ca="1" si="144"/>
        <v>0</v>
      </c>
      <c r="R276" s="119">
        <f t="shared" ca="1" si="144"/>
        <v>0</v>
      </c>
      <c r="S276" s="119">
        <f t="shared" ca="1" si="144"/>
        <v>0</v>
      </c>
      <c r="T276" s="119">
        <f t="shared" ca="1" si="144"/>
        <v>0</v>
      </c>
      <c r="U276" s="119">
        <f t="shared" ca="1" si="144"/>
        <v>0</v>
      </c>
      <c r="V276" s="119">
        <f t="shared" ca="1" si="144"/>
        <v>0</v>
      </c>
      <c r="W276" s="119">
        <f t="shared" ca="1" si="144"/>
        <v>0</v>
      </c>
      <c r="X276" s="119">
        <f t="shared" ca="1" si="144"/>
        <v>0</v>
      </c>
    </row>
    <row r="277" spans="1:24" x14ac:dyDescent="0.2">
      <c r="A277" s="27" t="s">
        <v>520</v>
      </c>
      <c r="D277" s="72"/>
      <c r="E277" s="70"/>
      <c r="F277" s="70"/>
      <c r="G277" s="70"/>
      <c r="H277" s="70"/>
      <c r="I277" s="70"/>
      <c r="J277" s="125"/>
      <c r="K277" s="125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</row>
    <row r="278" spans="1:24" x14ac:dyDescent="0.2">
      <c r="A278" s="28" t="s">
        <v>175</v>
      </c>
      <c r="D278" s="72"/>
      <c r="E278" s="70">
        <f>AVERAGE(Popn!E$198:E$200)</f>
        <v>1.050387508174703E-2</v>
      </c>
      <c r="F278" s="70">
        <f>AVERAGE(Popn!F$198:F$200)</f>
        <v>1.536943655150865E-2</v>
      </c>
      <c r="G278" s="70">
        <f>AVERAGE(Popn!G$198:G$200)</f>
        <v>1.4666109437243224E-2</v>
      </c>
      <c r="H278" s="70">
        <f>AVERAGE(Popn!H$198:H$200)</f>
        <v>8.444610105723319E-3</v>
      </c>
      <c r="I278" s="70">
        <f>AVERAGE(Popn!I$198:I$200)</f>
        <v>4.9159925590402942E-4</v>
      </c>
      <c r="J278" s="125">
        <f>AVERAGE(Popn!J$198:J$200)</f>
        <v>-4.5019592189975048E-3</v>
      </c>
      <c r="K278" s="125">
        <f>AVERAGE(Popn!K$198:K$200)</f>
        <v>-3.156221619180092E-3</v>
      </c>
      <c r="L278" s="125">
        <f>AVERAGE(Popn!L$198:L$200)</f>
        <v>-4.5764379346257726E-3</v>
      </c>
      <c r="M278" s="125">
        <f>AVERAGE(Popn!M$198:M$200)</f>
        <v>-4.44389686121401E-3</v>
      </c>
      <c r="N278" s="125">
        <f>AVERAGE(Popn!N$198:N$200)</f>
        <v>-1.6966102811629691E-3</v>
      </c>
      <c r="O278" s="142">
        <f>AVERAGE(Popn!O$198:O$200)</f>
        <v>-5.0994178139588764E-4</v>
      </c>
      <c r="P278" s="142">
        <f>AVERAGE(Popn!P$198:P$200)</f>
        <v>7.4160888098158864E-5</v>
      </c>
      <c r="Q278" s="142">
        <f>AVERAGE(Popn!Q$198:Q$200)</f>
        <v>-5.7218752595777911E-4</v>
      </c>
      <c r="R278" s="142">
        <f>AVERAGE(Popn!R$198:R$200)</f>
        <v>3.5932983218286047E-4</v>
      </c>
      <c r="S278" s="142">
        <f>AVERAGE(Popn!S$198:S$200)</f>
        <v>2.2392768627520856E-3</v>
      </c>
      <c r="T278" s="142">
        <f>AVERAGE(Popn!T$198:T$200)</f>
        <v>2.1510763902641652E-3</v>
      </c>
      <c r="U278" s="142">
        <f>AVERAGE(Popn!U$198:U$200)</f>
        <v>3.2928148407012081E-3</v>
      </c>
      <c r="V278" s="142">
        <f>AVERAGE(Popn!V$198:V$200)</f>
        <v>2.6437124377133672E-3</v>
      </c>
      <c r="W278" s="142">
        <f>AVERAGE(Popn!W$198:W$200)</f>
        <v>4.220163047237639E-3</v>
      </c>
      <c r="X278" s="142">
        <f>AVERAGE(Popn!X$198:X$200)</f>
        <v>5.402380569866712E-3</v>
      </c>
    </row>
    <row r="279" spans="1:24" x14ac:dyDescent="0.2">
      <c r="A279" s="28" t="s">
        <v>218</v>
      </c>
      <c r="D279" s="72"/>
      <c r="E279" s="70">
        <f t="shared" ref="E279:X279" si="145">E$247</f>
        <v>4.0196078431372628E-2</v>
      </c>
      <c r="F279" s="70">
        <f t="shared" si="145"/>
        <v>1.8850141376060225E-2</v>
      </c>
      <c r="G279" s="70">
        <f t="shared" si="145"/>
        <v>1.6651248843663202E-2</v>
      </c>
      <c r="H279" s="70">
        <f t="shared" si="145"/>
        <v>5.277525022747942E-2</v>
      </c>
      <c r="I279" s="70">
        <f t="shared" si="145"/>
        <v>9.5073465859982775E-3</v>
      </c>
      <c r="J279" s="125">
        <f t="shared" si="145"/>
        <v>1.0273972602739656E-2</v>
      </c>
      <c r="K279" s="125">
        <f t="shared" si="145"/>
        <v>1.8644067796610209E-2</v>
      </c>
      <c r="L279" s="125">
        <f t="shared" si="145"/>
        <v>1.830282861896837E-2</v>
      </c>
      <c r="M279" s="125">
        <f t="shared" si="145"/>
        <v>2.2058823529411686E-2</v>
      </c>
      <c r="N279" s="125">
        <f t="shared" si="145"/>
        <v>2.2382094324540303E-2</v>
      </c>
      <c r="O279" s="142">
        <f t="shared" ca="1" si="145"/>
        <v>2.0382094324540301E-2</v>
      </c>
      <c r="P279" s="142">
        <f t="shared" ca="1" si="145"/>
        <v>0.02</v>
      </c>
      <c r="Q279" s="142">
        <f t="shared" ca="1" si="145"/>
        <v>0.02</v>
      </c>
      <c r="R279" s="142">
        <f t="shared" ca="1" si="145"/>
        <v>0.02</v>
      </c>
      <c r="S279" s="142">
        <f t="shared" ca="1" si="145"/>
        <v>0.02</v>
      </c>
      <c r="T279" s="142">
        <f t="shared" ca="1" si="145"/>
        <v>0.02</v>
      </c>
      <c r="U279" s="142">
        <f t="shared" ca="1" si="145"/>
        <v>0.02</v>
      </c>
      <c r="V279" s="142">
        <f t="shared" ca="1" si="145"/>
        <v>0.02</v>
      </c>
      <c r="W279" s="142">
        <f t="shared" ca="1" si="145"/>
        <v>0.02</v>
      </c>
      <c r="X279" s="142">
        <f t="shared" ca="1" si="145"/>
        <v>0.02</v>
      </c>
    </row>
    <row r="280" spans="1:24" x14ac:dyDescent="0.2">
      <c r="A280" s="28" t="s">
        <v>143</v>
      </c>
      <c r="D280" s="72"/>
      <c r="E280" s="217">
        <f t="shared" ref="E280:X280" si="146">E$112/D$112 -(1+E$278+E$279)</f>
        <v>-2.0275959554763912E-2</v>
      </c>
      <c r="F280" s="217">
        <f t="shared" si="146"/>
        <v>0.16513127538622019</v>
      </c>
      <c r="G280" s="217">
        <f t="shared" si="146"/>
        <v>-7.8341631696015046E-3</v>
      </c>
      <c r="H280" s="217">
        <f t="shared" si="146"/>
        <v>-6.7531699296014103E-2</v>
      </c>
      <c r="I280" s="217">
        <f t="shared" si="146"/>
        <v>-9.6555982024173481E-3</v>
      </c>
      <c r="J280" s="143">
        <f t="shared" ca="1" si="146"/>
        <v>5.4379007724890238E-2</v>
      </c>
      <c r="K280" s="143">
        <f t="shared" ca="1" si="146"/>
        <v>-1.2735923878765654E-2</v>
      </c>
      <c r="L280" s="143">
        <f t="shared" ca="1" si="146"/>
        <v>-7.8340668486818199E-3</v>
      </c>
      <c r="M280" s="143">
        <f t="shared" ca="1" si="146"/>
        <v>-1.0071996159451313E-2</v>
      </c>
      <c r="N280" s="143">
        <f t="shared" ca="1" si="146"/>
        <v>-1.6384751325951186E-2</v>
      </c>
      <c r="O280" s="144">
        <f t="shared" ca="1" si="146"/>
        <v>-1.6794379749904609E-2</v>
      </c>
      <c r="P280" s="144">
        <f t="shared" ca="1" si="146"/>
        <v>-1.6844947862939996E-2</v>
      </c>
      <c r="Q280" s="144">
        <f t="shared" ca="1" si="146"/>
        <v>-1.5833762041101318E-2</v>
      </c>
      <c r="R280" s="144">
        <f t="shared" ca="1" si="146"/>
        <v>-1.7214227615830913E-2</v>
      </c>
      <c r="S280" s="144">
        <f t="shared" ca="1" si="146"/>
        <v>-1.8217597891255544E-2</v>
      </c>
      <c r="T280" s="144">
        <f t="shared" ca="1" si="146"/>
        <v>-1.7776324308307112E-2</v>
      </c>
      <c r="U280" s="144">
        <f t="shared" ca="1" si="146"/>
        <v>-1.9614522769982212E-2</v>
      </c>
      <c r="V280" s="144">
        <f t="shared" ca="1" si="146"/>
        <v>-1.872176818231841E-2</v>
      </c>
      <c r="W280" s="144">
        <f t="shared" ca="1" si="146"/>
        <v>-1.9441976691358942E-2</v>
      </c>
      <c r="X280" s="144">
        <f t="shared" ca="1" si="146"/>
        <v>-2.0067073150987547E-2</v>
      </c>
    </row>
    <row r="281" spans="1:24" x14ac:dyDescent="0.2">
      <c r="A281" s="82" t="s">
        <v>177</v>
      </c>
      <c r="D281" s="72"/>
      <c r="E281" s="218">
        <f t="shared" ref="E281:X281" si="147">E$112/D$112 -1</f>
        <v>3.0423993958355711E-2</v>
      </c>
      <c r="F281" s="218">
        <f t="shared" si="147"/>
        <v>0.1993508533137891</v>
      </c>
      <c r="G281" s="218">
        <f t="shared" si="147"/>
        <v>2.3483195111305033E-2</v>
      </c>
      <c r="H281" s="218">
        <f t="shared" si="147"/>
        <v>-6.3118389628112892E-3</v>
      </c>
      <c r="I281" s="218">
        <f t="shared" si="147"/>
        <v>3.4334763948495883E-4</v>
      </c>
      <c r="J281" s="120">
        <f t="shared" ca="1" si="147"/>
        <v>6.0151021108632241E-2</v>
      </c>
      <c r="K281" s="120">
        <f t="shared" ca="1" si="147"/>
        <v>2.7519222986644998E-3</v>
      </c>
      <c r="L281" s="120">
        <f t="shared" ca="1" si="147"/>
        <v>5.8923238356607399E-3</v>
      </c>
      <c r="M281" s="120">
        <f t="shared" ca="1" si="147"/>
        <v>7.5429305087464371E-3</v>
      </c>
      <c r="N281" s="120">
        <f t="shared" ca="1" si="147"/>
        <v>4.3007327174260368E-3</v>
      </c>
      <c r="O281" s="119">
        <f t="shared" ca="1" si="147"/>
        <v>3.0777727932398413E-3</v>
      </c>
      <c r="P281" s="119">
        <f t="shared" ca="1" si="147"/>
        <v>3.2292130251581064E-3</v>
      </c>
      <c r="Q281" s="119">
        <f t="shared" ca="1" si="147"/>
        <v>3.5940504329408096E-3</v>
      </c>
      <c r="R281" s="119">
        <f t="shared" ca="1" si="147"/>
        <v>3.1451022163520026E-3</v>
      </c>
      <c r="S281" s="119">
        <f t="shared" ca="1" si="147"/>
        <v>4.0216789714966339E-3</v>
      </c>
      <c r="T281" s="119">
        <f t="shared" ca="1" si="147"/>
        <v>4.374752081957034E-3</v>
      </c>
      <c r="U281" s="119">
        <f t="shared" ca="1" si="147"/>
        <v>3.6782920707190137E-3</v>
      </c>
      <c r="V281" s="119">
        <f t="shared" ca="1" si="147"/>
        <v>3.921944255395049E-3</v>
      </c>
      <c r="W281" s="119">
        <f t="shared" ca="1" si="147"/>
        <v>4.7781863558786775E-3</v>
      </c>
      <c r="X281" s="119">
        <f t="shared" ca="1" si="147"/>
        <v>5.3353074188791094E-3</v>
      </c>
    </row>
    <row r="282" spans="1:24" x14ac:dyDescent="0.2">
      <c r="A282" s="27" t="s">
        <v>184</v>
      </c>
      <c r="D282" s="72"/>
      <c r="E282" s="70"/>
      <c r="F282" s="70"/>
      <c r="G282" s="70"/>
      <c r="H282" s="70"/>
      <c r="I282" s="70"/>
      <c r="J282" s="125"/>
      <c r="K282" s="125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</row>
    <row r="283" spans="1:24" x14ac:dyDescent="0.2">
      <c r="A283" s="28" t="s">
        <v>175</v>
      </c>
      <c r="D283" s="72"/>
      <c r="E283" s="261">
        <f>E$250</f>
        <v>1.2147478940300216E-2</v>
      </c>
      <c r="F283" s="261">
        <f>F$250</f>
        <v>1.1730293709667716E-2</v>
      </c>
      <c r="G283" s="261">
        <f>G$250</f>
        <v>1.4574826383714212E-2</v>
      </c>
      <c r="H283" s="261">
        <f>H$250</f>
        <v>1.2896592244418414E-2</v>
      </c>
      <c r="I283" s="261">
        <f>I$250</f>
        <v>8.9039705327880192E-3</v>
      </c>
      <c r="J283" s="276">
        <f t="shared" ref="J283:X283" si="148">J$250</f>
        <v>8.3366871730006231E-3</v>
      </c>
      <c r="K283" s="276">
        <f t="shared" si="148"/>
        <v>1.0491504162390308E-2</v>
      </c>
      <c r="L283" s="276">
        <f t="shared" si="148"/>
        <v>1.1370048527254317E-2</v>
      </c>
      <c r="M283" s="276">
        <f t="shared" si="148"/>
        <v>1.1102742209947669E-2</v>
      </c>
      <c r="N283" s="276">
        <f t="shared" si="148"/>
        <v>1.0429024693061173E-2</v>
      </c>
      <c r="O283" s="277">
        <f t="shared" si="148"/>
        <v>1.0006357927154763E-2</v>
      </c>
      <c r="P283" s="277">
        <f t="shared" si="148"/>
        <v>1.0236578103709704E-2</v>
      </c>
      <c r="Q283" s="277">
        <f t="shared" si="148"/>
        <v>9.9014846968690229E-3</v>
      </c>
      <c r="R283" s="277">
        <f t="shared" si="148"/>
        <v>1.0015281961297751E-2</v>
      </c>
      <c r="S283" s="277">
        <f t="shared" si="148"/>
        <v>1.0457263635426317E-2</v>
      </c>
      <c r="T283" s="277">
        <f t="shared" si="148"/>
        <v>1.0754635640801258E-2</v>
      </c>
      <c r="U283" s="277">
        <f t="shared" si="148"/>
        <v>1.0251543914817862E-2</v>
      </c>
      <c r="V283" s="277">
        <f t="shared" si="148"/>
        <v>1.0127530945927443E-2</v>
      </c>
      <c r="W283" s="277">
        <f t="shared" si="148"/>
        <v>9.5857786219328833E-3</v>
      </c>
      <c r="X283" s="277">
        <f t="shared" si="148"/>
        <v>8.9558454283791278E-3</v>
      </c>
    </row>
    <row r="284" spans="1:24" x14ac:dyDescent="0.2">
      <c r="A284" s="28" t="s">
        <v>218</v>
      </c>
      <c r="D284" s="72"/>
      <c r="E284" s="70">
        <f t="shared" ref="E284:X284" si="149">E$247</f>
        <v>4.0196078431372628E-2</v>
      </c>
      <c r="F284" s="70">
        <f t="shared" si="149"/>
        <v>1.8850141376060225E-2</v>
      </c>
      <c r="G284" s="70">
        <f t="shared" si="149"/>
        <v>1.6651248843663202E-2</v>
      </c>
      <c r="H284" s="70">
        <f t="shared" si="149"/>
        <v>5.277525022747942E-2</v>
      </c>
      <c r="I284" s="70">
        <f t="shared" si="149"/>
        <v>9.5073465859982775E-3</v>
      </c>
      <c r="J284" s="125">
        <f t="shared" si="149"/>
        <v>1.0273972602739656E-2</v>
      </c>
      <c r="K284" s="125">
        <f t="shared" si="149"/>
        <v>1.8644067796610209E-2</v>
      </c>
      <c r="L284" s="125">
        <f t="shared" si="149"/>
        <v>1.830282861896837E-2</v>
      </c>
      <c r="M284" s="125">
        <f t="shared" si="149"/>
        <v>2.2058823529411686E-2</v>
      </c>
      <c r="N284" s="125">
        <f t="shared" si="149"/>
        <v>2.2382094324540303E-2</v>
      </c>
      <c r="O284" s="142">
        <f t="shared" ca="1" si="149"/>
        <v>2.0382094324540301E-2</v>
      </c>
      <c r="P284" s="142">
        <f t="shared" ca="1" si="149"/>
        <v>0.02</v>
      </c>
      <c r="Q284" s="142">
        <f t="shared" ca="1" si="149"/>
        <v>0.02</v>
      </c>
      <c r="R284" s="142">
        <f t="shared" ca="1" si="149"/>
        <v>0.02</v>
      </c>
      <c r="S284" s="142">
        <f t="shared" ca="1" si="149"/>
        <v>0.02</v>
      </c>
      <c r="T284" s="142">
        <f t="shared" ca="1" si="149"/>
        <v>0.02</v>
      </c>
      <c r="U284" s="142">
        <f t="shared" ca="1" si="149"/>
        <v>0.02</v>
      </c>
      <c r="V284" s="142">
        <f t="shared" ca="1" si="149"/>
        <v>0.02</v>
      </c>
      <c r="W284" s="142">
        <f t="shared" ca="1" si="149"/>
        <v>0.02</v>
      </c>
      <c r="X284" s="142">
        <f t="shared" ca="1" si="149"/>
        <v>0.02</v>
      </c>
    </row>
    <row r="285" spans="1:24" x14ac:dyDescent="0.2">
      <c r="A285" s="28" t="s">
        <v>425</v>
      </c>
      <c r="D285" s="72"/>
      <c r="E285" s="217">
        <f>SUM(E$99,E$116,E$122,E$128,E$138)/SUM(D$99,D$116,D$122,D$128,D$138) -(1+E$283+E$284)</f>
        <v>-1.7662232937698086E-2</v>
      </c>
      <c r="F285" s="217">
        <f t="shared" ref="F285:X285" si="150">SUM(F$99,F$116,F$122,F$128,F$138)/SUM(E$99,E$116,E$122,E$128,E$138) -(1+F$283+F$284)</f>
        <v>0.1310689451318281</v>
      </c>
      <c r="G285" s="217">
        <f t="shared" si="150"/>
        <v>-0.17838417627267344</v>
      </c>
      <c r="H285" s="217">
        <f t="shared" si="150"/>
        <v>0.2095276468354752</v>
      </c>
      <c r="I285" s="217">
        <f t="shared" si="150"/>
        <v>-0.1311966595296794</v>
      </c>
      <c r="J285" s="143">
        <f t="shared" ca="1" si="150"/>
        <v>3.1211605077839932E-2</v>
      </c>
      <c r="K285" s="143">
        <f t="shared" ca="1" si="150"/>
        <v>-6.439301579432255E-2</v>
      </c>
      <c r="L285" s="143">
        <f t="shared" ca="1" si="150"/>
        <v>-8.2430537313353591E-2</v>
      </c>
      <c r="M285" s="143">
        <f t="shared" ca="1" si="150"/>
        <v>-1.8752343837342034E-2</v>
      </c>
      <c r="N285" s="143">
        <f t="shared" ca="1" si="150"/>
        <v>-4.3363067069549621E-2</v>
      </c>
      <c r="O285" s="144">
        <f t="shared" ca="1" si="150"/>
        <v>-6.3105113463200579E-2</v>
      </c>
      <c r="P285" s="144">
        <f t="shared" ca="1" si="150"/>
        <v>-2.1322142664231603E-2</v>
      </c>
      <c r="Q285" s="144">
        <f t="shared" ca="1" si="150"/>
        <v>-2.1229194363692194E-2</v>
      </c>
      <c r="R285" s="144">
        <f t="shared" ca="1" si="150"/>
        <v>-2.1211625486648567E-2</v>
      </c>
      <c r="S285" s="144">
        <f t="shared" ca="1" si="150"/>
        <v>-2.1507185783680605E-2</v>
      </c>
      <c r="T285" s="144">
        <f t="shared" ca="1" si="150"/>
        <v>-2.0992124956690228E-2</v>
      </c>
      <c r="U285" s="144">
        <f t="shared" ca="1" si="150"/>
        <v>-1.9788661517783357E-2</v>
      </c>
      <c r="V285" s="144">
        <f t="shared" ca="1" si="150"/>
        <v>-1.9429879763922075E-2</v>
      </c>
      <c r="W285" s="144">
        <f t="shared" ca="1" si="150"/>
        <v>-1.8674546802359693E-2</v>
      </c>
      <c r="X285" s="144">
        <f t="shared" ca="1" si="150"/>
        <v>-1.7910036361180381E-2</v>
      </c>
    </row>
    <row r="286" spans="1:24" x14ac:dyDescent="0.2">
      <c r="A286" s="82" t="s">
        <v>177</v>
      </c>
      <c r="D286" s="72"/>
      <c r="E286" s="218">
        <f>SUM(E$99,E$116,E$122,E$128,E$138)/SUM(D$99,D$116,D$122,D$128,D$138) -1</f>
        <v>3.4681324433974758E-2</v>
      </c>
      <c r="F286" s="218">
        <f t="shared" ref="F286:X286" si="151">SUM(F$99,F$116,F$122,F$128,F$138)/SUM(E$99,E$116,E$122,E$128,E$138) -1</f>
        <v>0.16164938021755604</v>
      </c>
      <c r="G286" s="218">
        <f t="shared" si="151"/>
        <v>-0.14715810104529603</v>
      </c>
      <c r="H286" s="218">
        <f t="shared" si="151"/>
        <v>0.27519948930737304</v>
      </c>
      <c r="I286" s="218">
        <f t="shared" si="151"/>
        <v>-0.11278534241089311</v>
      </c>
      <c r="J286" s="120">
        <f t="shared" ca="1" si="151"/>
        <v>4.9822264853580212E-2</v>
      </c>
      <c r="K286" s="120">
        <f t="shared" ca="1" si="151"/>
        <v>-3.5257443835322033E-2</v>
      </c>
      <c r="L286" s="120">
        <f t="shared" ca="1" si="151"/>
        <v>-5.2757660167130904E-2</v>
      </c>
      <c r="M286" s="120">
        <f t="shared" ca="1" si="151"/>
        <v>1.4409221902017322E-2</v>
      </c>
      <c r="N286" s="120">
        <f t="shared" ca="1" si="151"/>
        <v>-1.0551948051948146E-2</v>
      </c>
      <c r="O286" s="119">
        <f t="shared" ca="1" si="151"/>
        <v>-3.2716661211505516E-2</v>
      </c>
      <c r="P286" s="119">
        <f t="shared" ca="1" si="151"/>
        <v>8.9144354394781189E-3</v>
      </c>
      <c r="Q286" s="119">
        <f t="shared" ca="1" si="151"/>
        <v>8.6722903331768464E-3</v>
      </c>
      <c r="R286" s="119">
        <f t="shared" ca="1" si="151"/>
        <v>8.8036564746492019E-3</v>
      </c>
      <c r="S286" s="119">
        <f t="shared" ca="1" si="151"/>
        <v>8.9500778517457302E-3</v>
      </c>
      <c r="T286" s="119">
        <f t="shared" ca="1" si="151"/>
        <v>9.7625106841110476E-3</v>
      </c>
      <c r="U286" s="119">
        <f t="shared" ca="1" si="151"/>
        <v>1.0462882397034523E-2</v>
      </c>
      <c r="V286" s="119">
        <f t="shared" ca="1" si="151"/>
        <v>1.0697651182005385E-2</v>
      </c>
      <c r="W286" s="119">
        <f t="shared" ca="1" si="151"/>
        <v>1.0911231819573208E-2</v>
      </c>
      <c r="X286" s="119">
        <f t="shared" ca="1" si="151"/>
        <v>1.1045809067198764E-2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8209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4</xdr:row>
                    <xdr:rowOff>0</xdr:rowOff>
                  </from>
                  <to>
                    <xdr:col>0</xdr:col>
                    <xdr:colOff>4714875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Offset</vt:lpstr>
      <vt:lpstr>Describe</vt:lpstr>
      <vt:lpstr>Popn</vt:lpstr>
      <vt:lpstr>Labour Force</vt:lpstr>
      <vt:lpstr>Tracks</vt:lpstr>
      <vt:lpstr>Forecast Adjuster</vt:lpstr>
      <vt:lpstr>Scenarios</vt:lpstr>
      <vt:lpstr>Data</vt:lpstr>
      <vt:lpstr>Budget 2013</vt:lpstr>
      <vt:lpstr>Option</vt:lpstr>
    </vt:vector>
  </TitlesOfParts>
  <Company>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 - Long Term Foscal Model - The Treasury</dc:title>
  <dc:creator>New Zealand Treasury</dc:creator>
  <cp:lastModifiedBy>Christine Dewes [CASS]</cp:lastModifiedBy>
  <cp:lastPrinted>2011-10-04T21:54:32Z</cp:lastPrinted>
  <dcterms:created xsi:type="dcterms:W3CDTF">2001-06-18T01:52:26Z</dcterms:created>
  <dcterms:modified xsi:type="dcterms:W3CDTF">2017-12-12T21:55:49Z</dcterms:modified>
</cp:coreProperties>
</file>