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25" tabRatio="506" activeTab="0"/>
  </bookViews>
  <sheets>
    <sheet name="Describe" sheetId="1" r:id="rId1"/>
    <sheet name="Offsets" sheetId="2" state="hidden" r:id="rId2"/>
    <sheet name="Data" sheetId="3" r:id="rId3"/>
    <sheet name="Popn" sheetId="4" r:id="rId4"/>
    <sheet name="Tracks" sheetId="5" r:id="rId5"/>
    <sheet name="Scenarios" sheetId="6" r:id="rId6"/>
    <sheet name="ReadyReckoner" sheetId="7" r:id="rId7"/>
    <sheet name="Base" sheetId="8" r:id="rId8"/>
    <sheet name="Option" sheetId="9" r:id="rId9"/>
    <sheet name="Sheet1" sheetId="10" r:id="rId10"/>
  </sheets>
  <externalReferences>
    <externalReference r:id="rId13"/>
  </externalReferences>
  <definedNames>
    <definedName name="ALLOC_NCE" localSheetId="0">#REF!</definedName>
    <definedName name="ALLOC_NI" localSheetId="0">#REF!</definedName>
    <definedName name="CON_FC_GS" localSheetId="0">#REF!</definedName>
    <definedName name="CON_FC_STB" localSheetId="0">#REF!</definedName>
    <definedName name="CON_GS" localSheetId="0">#REF!</definedName>
    <definedName name="CON_STB" localSheetId="0">#REF!</definedName>
    <definedName name="CON_UNEMP" localSheetId="0">#REF!</definedName>
    <definedName name="DEF_EGF" localSheetId="0">#REF!</definedName>
    <definedName name="DEMO_KEY" localSheetId="0">#REF!</definedName>
    <definedName name="DRAG_RATE" localSheetId="0">#REF!</definedName>
    <definedName name="EDUC_ANI" localSheetId="0">#REF!</definedName>
    <definedName name="FISCAL_DRAG" localSheetId="0">#REF!</definedName>
    <definedName name="GROWTH_NCE" localSheetId="0">#REF!</definedName>
    <definedName name="GROWTH_NI" localSheetId="0">#REF!</definedName>
    <definedName name="GROWTH_SB" localSheetId="0">#REF!</definedName>
    <definedName name="GROWTH_WB" localSheetId="0">#REF!</definedName>
    <definedName name="GST_RATE" localSheetId="0">#REF!</definedName>
    <definedName name="HEALTH_ANI" localSheetId="0">#REF!</definedName>
    <definedName name="HEALTH_EGF" localSheetId="0">#REF!</definedName>
    <definedName name="INFLATION" localSheetId="0">#REF!</definedName>
    <definedName name="LP" localSheetId="0">#REF!</definedName>
    <definedName name="MIGRATION" localSheetId="0">#REF!</definedName>
    <definedName name="NZS_FLOOR" localSheetId="0">#REF!</definedName>
    <definedName name="OED_ANI" localSheetId="0">#REF!</definedName>
    <definedName name="OED_EGF" localSheetId="0">#REF!</definedName>
    <definedName name="OEXP_EGF" localSheetId="0">#REF!</definedName>
    <definedName name="OSW_EGF" localSheetId="0">#REF!</definedName>
    <definedName name="OTHER_ANI" localSheetId="0">#REF!</definedName>
    <definedName name="PHYS_ACE" localSheetId="0">#REF!</definedName>
    <definedName name="PRIMED_ANI" localSheetId="0">#REF!</definedName>
    <definedName name="_xlnm.Print_Area" localSheetId="2">'Data'!$C$139:$G$155</definedName>
    <definedName name="R_INT_FC_GS" localSheetId="0">#REF!</definedName>
    <definedName name="R_INT_FC_STB" localSheetId="0">#REF!</definedName>
    <definedName name="R_INT_GS" localSheetId="0">#REF!</definedName>
    <definedName name="R_INT_STB" localSheetId="0">#REF!</definedName>
    <definedName name="REMOVE_GST" localSheetId="0">#REF!</definedName>
    <definedName name="SECED_ANI" localSheetId="0">#REF!</definedName>
    <definedName name="SH_ACE" localSheetId="0">#REF!</definedName>
    <definedName name="TARIFF" localSheetId="0">#REF!</definedName>
    <definedName name="tax" localSheetId="7">'Base'!$A$46</definedName>
    <definedName name="tax" localSheetId="8">'Option'!$A$46</definedName>
    <definedName name="tax">#REF!</definedName>
    <definedName name="TAX_BEN" localSheetId="0">#REF!</definedName>
    <definedName name="TAX_NZS" localSheetId="0">#REF!</definedName>
    <definedName name="TAXCUTS_ANI" localSheetId="0">#REF!</definedName>
    <definedName name="TERTED_ANI" localSheetId="0">#REF!</definedName>
    <definedName name="TERTED_EGF" localSheetId="0">#REF!</definedName>
    <definedName name="TOP_DOWN" localSheetId="0">#REF!</definedName>
    <definedName name="UNEMP" localSheetId="0">#REF!</definedName>
    <definedName name="WAGEFLOOR" localSheetId="0">#REF!</definedName>
  </definedNames>
  <calcPr fullCalcOnLoad="1"/>
</workbook>
</file>

<file path=xl/comments8.xml><?xml version="1.0" encoding="utf-8"?>
<comments xmlns="http://schemas.openxmlformats.org/spreadsheetml/2006/main">
  <authors>
    <author>deansa</author>
  </authors>
  <commentList>
    <comment ref="D130" authorId="0">
      <text>
        <r>
          <rPr>
            <sz val="8"/>
            <rFont val="Tahoma"/>
            <family val="2"/>
          </rPr>
          <t xml:space="preserve">Includes (negative of) previous year insurance liability.
</t>
        </r>
      </text>
    </comment>
  </commentList>
</comments>
</file>

<file path=xl/comments9.xml><?xml version="1.0" encoding="utf-8"?>
<comments xmlns="http://schemas.openxmlformats.org/spreadsheetml/2006/main">
  <authors>
    <author>deansa</author>
  </authors>
  <commentList>
    <comment ref="D130" authorId="0">
      <text>
        <r>
          <rPr>
            <sz val="8"/>
            <rFont val="Tahoma"/>
            <family val="2"/>
          </rPr>
          <t xml:space="preserve">Includes (negative of) previous year insurance liability.
</t>
        </r>
      </text>
    </comment>
  </commentList>
</comments>
</file>

<file path=xl/sharedStrings.xml><?xml version="1.0" encoding="utf-8"?>
<sst xmlns="http://schemas.openxmlformats.org/spreadsheetml/2006/main" count="1790" uniqueCount="994">
  <si>
    <t>ACC investment income elimination</t>
  </si>
  <si>
    <t>EQC investment income elimination</t>
  </si>
  <si>
    <t>ACC portfolio</t>
  </si>
  <si>
    <t>EQC portfolio</t>
  </si>
  <si>
    <t>Advances</t>
  </si>
  <si>
    <t>Receivables</t>
  </si>
  <si>
    <t>Borrowings - sovereign guaranteed</t>
  </si>
  <si>
    <t>Borrowings - non-sovereign guaranteed</t>
  </si>
  <si>
    <t>ASSUMPTIONS THAT ALTER FORECAST YEARS</t>
  </si>
  <si>
    <t>ALLOCATION OF OPERATING &amp; CAPITAL ALLOWANCES</t>
  </si>
  <si>
    <t>Allocate Operating Allowance</t>
  </si>
  <si>
    <t>% allocated to Health</t>
  </si>
  <si>
    <t>% allocated to Education</t>
  </si>
  <si>
    <t>Demographic Growth</t>
  </si>
  <si>
    <t>CC Financial Assets from Note = Financial Assets in Statement of Financial Position</t>
  </si>
  <si>
    <t>NZS Fund Cash holdings</t>
  </si>
  <si>
    <t>Emissions Trading Scheme - free allocation of units</t>
  </si>
  <si>
    <t>Core Crown Emissions Trading Scheme Levies</t>
  </si>
  <si>
    <t>Core Crown International Emissions Trading Units</t>
  </si>
  <si>
    <t>Core Crown other liabilities (other than borrowings, Kyoto, ETS)</t>
  </si>
  <si>
    <t>Provision for Kyoto</t>
  </si>
  <si>
    <t>Outstanding NZUs</t>
  </si>
  <si>
    <t>Core Crown other sovereign revenue (ex ETS)</t>
  </si>
  <si>
    <t>Heritage, culture and recreation (ex ETS)</t>
  </si>
  <si>
    <t>Core Crown intangible assets and goodwill (ex ETS)</t>
  </si>
  <si>
    <t>Emissions Trading Scheme Levies</t>
  </si>
  <si>
    <t>Free allocation of ETS units</t>
  </si>
  <si>
    <t>Core Crown holdings of International ETS Units</t>
  </si>
  <si>
    <t>Provision for national emissions liability</t>
  </si>
  <si>
    <t>Outstanding New Zealand Units</t>
  </si>
  <si>
    <t>Climate Change: ETS and emissions liability</t>
  </si>
  <si>
    <t>2017/18</t>
  </si>
  <si>
    <t>2018/19</t>
  </si>
  <si>
    <t>2020/21</t>
  </si>
  <si>
    <t>2021/22</t>
  </si>
  <si>
    <t>Expense - Free Allocation of Units</t>
  </si>
  <si>
    <t>Revenue -Levies Payable under ETS</t>
  </si>
  <si>
    <t>Liability - outstanding NZ Units</t>
  </si>
  <si>
    <t>Asset - International Units</t>
  </si>
  <si>
    <t>FISCAL INDICATOR AS % OF NOMINAL GDP (SELECT FROM BOX)</t>
  </si>
  <si>
    <t>Tax Revenue to GDP (Total Crown)</t>
  </si>
  <si>
    <t>Operating Balance to GDP (Total Crown)</t>
  </si>
  <si>
    <t>OBEGAL excluding net returns from NZS Fund to GDP (Total Crown)</t>
  </si>
  <si>
    <t>Total Assets to GDP (Total Crown)</t>
  </si>
  <si>
    <t>Gross Debt to GDP (Total Crown)</t>
  </si>
  <si>
    <t>Gross Sovereign-issued Debt (GSID) to GDP (Total Crown)</t>
  </si>
  <si>
    <t>GSID less Reserve Bank settlement cash to GDP (Total Crown)</t>
  </si>
  <si>
    <t>Liabilities excluding Gross Debt to GDP (Total Crown)</t>
  </si>
  <si>
    <t>Net Worth to GDP (Total Crown)</t>
  </si>
  <si>
    <t>Fiscal Indicator as % of Nominal GDP</t>
  </si>
  <si>
    <t>Tax Revenue to GDP (Core Crown)</t>
  </si>
  <si>
    <t>Operating Balance to GDP (Core Crown)</t>
  </si>
  <si>
    <t>Gross Debt to GDP (Core Crown)</t>
  </si>
  <si>
    <t>Liabilities excluding Gross Debt to GDP (Core Crown)</t>
  </si>
  <si>
    <t>Net Worth to GDP (Core Crown)</t>
  </si>
  <si>
    <t>Transport and communications</t>
  </si>
  <si>
    <t>Economic and industrial services</t>
  </si>
  <si>
    <t>Primary services</t>
  </si>
  <si>
    <t>Heritage, culture and recreation</t>
  </si>
  <si>
    <t>Housing and community development</t>
  </si>
  <si>
    <t>Core government services</t>
  </si>
  <si>
    <t>Law and order</t>
  </si>
  <si>
    <t>Allowance for New Operating Initiatives</t>
  </si>
  <si>
    <t>Forecast Statement of Financial Performance</t>
  </si>
  <si>
    <t>Taxation revenue</t>
  </si>
  <si>
    <t>Total revenue levied through the Crown's sovereign power</t>
  </si>
  <si>
    <t xml:space="preserve">09/10 </t>
  </si>
  <si>
    <t>Total revenue earned through the Crown's operations</t>
  </si>
  <si>
    <t>Total Crown expenses by functional classification</t>
  </si>
  <si>
    <t>INDEX</t>
  </si>
  <si>
    <t>FISCAL READY RECKONER</t>
  </si>
  <si>
    <t>FORECAST YEARS</t>
  </si>
  <si>
    <t>Enter new fiscal variables as additions, in $ millions, to the current forecasts.</t>
  </si>
  <si>
    <t>Use negative values for subtractions. Leave entry as zero for unchanged variables.</t>
  </si>
  <si>
    <t>Additions to revenue or expenses apply to the year of addition only.</t>
  </si>
  <si>
    <t>Additions to expenses via operating allowance</t>
  </si>
  <si>
    <t>Additions to assets or liabilities apply not only to that year, but to each following year also.</t>
  </si>
  <si>
    <t>Additions to financial assets</t>
  </si>
  <si>
    <t>Additions to other assets via capital allowance</t>
  </si>
  <si>
    <t>Additions to liabilities other than debt</t>
  </si>
  <si>
    <t>BASE</t>
  </si>
  <si>
    <t>Government 10-year Bond rate</t>
  </si>
  <si>
    <t xml:space="preserve">For the four economic scenario tracks, write over any old figures that you wish to </t>
  </si>
  <si>
    <t>change with new values. Variables that you do not want to alter should be left at</t>
  </si>
  <si>
    <t>their present forecast values i.e. the same as in the Base scenario.</t>
  </si>
  <si>
    <t>Calculated adjustment factors</t>
  </si>
  <si>
    <t>All figures in this section are calculated by formula.</t>
  </si>
  <si>
    <t>SCENARIO CALCULATIONS</t>
  </si>
  <si>
    <t>% change between new GDP and base GDP</t>
  </si>
  <si>
    <t>change in GDP annual % growth from base</t>
  </si>
  <si>
    <t>% change in unemp benefic's incl elasticity</t>
  </si>
  <si>
    <t>change in CPI annual % growth from base</t>
  </si>
  <si>
    <t>Multiplier for benefit CPI adjustment</t>
  </si>
  <si>
    <t>Change in 10-year Bond rate in % points</t>
  </si>
  <si>
    <t>chg in hrly wage ann % growth from base</t>
  </si>
  <si>
    <t>These should be reviewed at each forecast round and updated if necessary.</t>
  </si>
  <si>
    <t>Interest cost sensitivity is in $ million per 1 percentage point increase in interest rates</t>
  </si>
  <si>
    <t>Interest rate change in 1st forecasted year</t>
  </si>
  <si>
    <t>Interest rate change in 2nd forecasted year</t>
  </si>
  <si>
    <t>Interest rate change in 3rd forecasted year</t>
  </si>
  <si>
    <t>Interest rate change in 4th forecasted year</t>
  </si>
  <si>
    <t>Interest rate change in 5th forecasted year</t>
  </si>
  <si>
    <t>No. of unemployed as factor of unemp. rate</t>
  </si>
  <si>
    <t>Age Distributions</t>
  </si>
  <si>
    <t xml:space="preserve">Medium Fertility, Medium Mortality, and Long Term Annual Net Migration of 10,000 </t>
  </si>
  <si>
    <t xml:space="preserve">Net foreign-exchange (gains)/losses </t>
  </si>
  <si>
    <t>Forecast new operating spending</t>
  </si>
  <si>
    <t>Operating balance</t>
  </si>
  <si>
    <t>Forecast Statement of Financial Position</t>
  </si>
  <si>
    <t>GSF Gross Assets</t>
  </si>
  <si>
    <t>GSF Net Pension Liability</t>
  </si>
  <si>
    <t>Property, plant and equipment</t>
  </si>
  <si>
    <t>Forecast new capital spending</t>
  </si>
  <si>
    <t>Total assets</t>
  </si>
  <si>
    <t>Total liabilities</t>
  </si>
  <si>
    <t>Forecast Statement of Segments</t>
  </si>
  <si>
    <t>SUMMARY</t>
  </si>
  <si>
    <t>2013/14</t>
  </si>
  <si>
    <t>2014/15</t>
  </si>
  <si>
    <t>2015/16</t>
  </si>
  <si>
    <t>2016/17</t>
  </si>
  <si>
    <t>KiwiSaver expense</t>
  </si>
  <si>
    <t>PROJECTED STATEMENT OF FINANCIAL PERFORMANCE</t>
  </si>
  <si>
    <t>PROJECTED STATEMENT OF FINANCIAL POSITION</t>
  </si>
  <si>
    <t>ECONOMIC PROJECTIONS ($BILLION, JUNE YEARS)</t>
  </si>
  <si>
    <t>Other income tax</t>
  </si>
  <si>
    <t>NZS Fund investment income</t>
  </si>
  <si>
    <t>Reserve Bank and DMO investment income</t>
  </si>
  <si>
    <t>ACC investment income</t>
  </si>
  <si>
    <t>EQC investment income</t>
  </si>
  <si>
    <t>Student loans</t>
  </si>
  <si>
    <t>Total social security and welfare expense</t>
  </si>
  <si>
    <t>CHECK: Last year's Outstanding Loans + Borrowing + Gross Interest - Interest Write-offs - Repayments - Other Write-offs = This year's Outstanding Loans</t>
  </si>
  <si>
    <t>Core Crown expenses by functional classification</t>
  </si>
  <si>
    <t>Core Crown taxation revenue</t>
  </si>
  <si>
    <t>Core Crown sales of goods and services</t>
  </si>
  <si>
    <t>Core Crown investment income</t>
  </si>
  <si>
    <r>
      <t xml:space="preserve">MODEL ASSUMPTIONS FROM 'SCENARIOS' COLUMN </t>
    </r>
    <r>
      <rPr>
        <b/>
        <sz val="12"/>
        <rFont val="Arial"/>
        <family val="2"/>
      </rPr>
      <t>→</t>
    </r>
  </si>
  <si>
    <t>NOTE D: ANNUAL INCREMENTS TO OPERATING PROVISION</t>
  </si>
  <si>
    <t>NOTE E: SOCIAL SECURITY AND WELFARE</t>
  </si>
  <si>
    <t>NOTE E.1: NZS PARAMETERS</t>
  </si>
  <si>
    <t>NOTE E.2: UNEMPLOYMENT BENEFIT NUMBERS (000's)</t>
  </si>
  <si>
    <t>NOTE F: HEALTH</t>
  </si>
  <si>
    <t>NOTE G: EDUCATION</t>
  </si>
  <si>
    <t>NOTE I: FINANCE COSTS (INCLUDES NET EXCHANGE LOSSES/[GAINS])</t>
  </si>
  <si>
    <t>NOTE J: NEW ZEALAND SUPERANNUATION FUND (NZSF)</t>
  </si>
  <si>
    <t>NOTE J.1: NZSF CONSOLIDATED PARAMETERS</t>
  </si>
  <si>
    <r>
      <t>less</t>
    </r>
    <r>
      <rPr>
        <sz val="10"/>
        <rFont val="Times New Roman"/>
        <family val="1"/>
      </rPr>
      <t xml:space="preserve"> Tax paid by NZSF</t>
    </r>
  </si>
  <si>
    <t>NOTE N: STUDENT LOANS</t>
  </si>
  <si>
    <t>Closing Balance Student Loans</t>
  </si>
  <si>
    <r>
      <t>plus</t>
    </r>
    <r>
      <rPr>
        <sz val="10"/>
        <rFont val="Times New Roman"/>
        <family val="1"/>
      </rPr>
      <t xml:space="preserve"> Crown Entity (CE) &amp; State-owned Entity (SOE) property, plant and equipment</t>
    </r>
  </si>
  <si>
    <t>NOTE P: PROPERTY, PLANT &amp; EQUIPMENT</t>
  </si>
  <si>
    <t>NOTE Q: ANNUAL INCREMENTS TO CAPITAL PROVISION</t>
  </si>
  <si>
    <t>NOTE R: OTHER NON-FINANCIAL ASSETS</t>
  </si>
  <si>
    <t>Core Crown non-financial assets excluding property, plant and equipment</t>
  </si>
  <si>
    <t>Total Crown non-financial assets excluding property, plant and equipment</t>
  </si>
  <si>
    <t>NOTE S: NON-DEBT LIABILITIES</t>
  </si>
  <si>
    <r>
      <t xml:space="preserve">plus </t>
    </r>
    <r>
      <rPr>
        <sz val="10"/>
        <rFont val="Times New Roman"/>
        <family val="1"/>
      </rPr>
      <t>Eliminations from Core Crown borrowings - sovereign guaranteed</t>
    </r>
  </si>
  <si>
    <t>NOTE T: BORROWINGS - NON-SOVEREIGN GUARANTEED</t>
  </si>
  <si>
    <t>NOTE U: BORROWINGS - SOVEREIGN GUARANTEED &amp; GSID</t>
  </si>
  <si>
    <t>Core Crown Gross Debt</t>
  </si>
  <si>
    <t>Gross sovereign-issued debt (GSID)</t>
  </si>
  <si>
    <t>ACC payment weights</t>
  </si>
  <si>
    <t>New Zealand Superannuation Fund (NZSF)</t>
  </si>
  <si>
    <t>Tertiary Education Student Loans Analysis (TESLA)</t>
  </si>
  <si>
    <t>ACC COST WEIGHTS FOR PAYMENTS TO CLAIMANTS</t>
  </si>
  <si>
    <t>Cost per head averaged across fiscal years 2001/02 to 2005/06</t>
  </si>
  <si>
    <t>OPERATING &amp; CAPITAL PROVISION</t>
  </si>
  <si>
    <t>Operating Provision (initiatives &amp; cost rises)</t>
  </si>
  <si>
    <t>Capital Provision</t>
  </si>
  <si>
    <t>GROWTH RATES OF PROVISIONS</t>
  </si>
  <si>
    <t>Growth Rate of Operating Provision</t>
  </si>
  <si>
    <t>Growth Rate of Capital Provision</t>
  </si>
  <si>
    <t>If no selection is made for a provision, no growth will be applied to that provision in projected years.</t>
  </si>
  <si>
    <t>Core Crown social security and welfare</t>
  </si>
  <si>
    <t>CE social security and welfare</t>
  </si>
  <si>
    <t>Social security and welfare eliminations</t>
  </si>
  <si>
    <t>OBEGAL PROJECTION PARAMETERS</t>
  </si>
  <si>
    <t>% of ACC returns from interest and/or dividends</t>
  </si>
  <si>
    <t>% of EQC returns from interest and/or dividends</t>
  </si>
  <si>
    <t>FISCAL DRAG</t>
  </si>
  <si>
    <t>Apply elasticity to inflation or real wage growth or both</t>
  </si>
  <si>
    <t>2019/20</t>
  </si>
  <si>
    <t>GSID less Reserve Bank settlement cash</t>
  </si>
  <si>
    <t>Core Crown operating balance</t>
  </si>
  <si>
    <t>NZ Superannuation</t>
  </si>
  <si>
    <t>Unemployment benefit</t>
  </si>
  <si>
    <t>Domestic purposes benefit</t>
  </si>
  <si>
    <t>New Zealand Superannuation Fund</t>
  </si>
  <si>
    <t>Number of unemployment beneficiaries (000s)</t>
  </si>
  <si>
    <t>NOTE: Student loans</t>
  </si>
  <si>
    <t>Opening balance</t>
  </si>
  <si>
    <t>Closing balance</t>
  </si>
  <si>
    <t>Invalids benefit</t>
  </si>
  <si>
    <t>Sickness benefit</t>
  </si>
  <si>
    <t>USE OF DMO FUNDS TO REDUCE DEBT</t>
  </si>
  <si>
    <t>Amount of excess DMO funds to use, in $billion</t>
  </si>
  <si>
    <t>Reduce debt via use of excess DMO funds</t>
  </si>
  <si>
    <t>Core Crown other assets</t>
  </si>
  <si>
    <t>OBEGAL excluding net returns from NZS Fund</t>
  </si>
  <si>
    <t>Core Crown net worth</t>
  </si>
  <si>
    <t>Total Crown other expenses</t>
  </si>
  <si>
    <t>The remaining % of returns arise from upward or downward movements in asset values i.e. capital gains or losses.</t>
  </si>
  <si>
    <t>It is these capital gains or losses that are subtracted from the Operating Balance to produce OBEGAL.</t>
  </si>
  <si>
    <t>Fiscal Drag modelling of PAYE tax (also called source deductions) is an option (select by Yes)</t>
  </si>
  <si>
    <t>To apply fiscal drag to inflation only, use Inflation. To apply fiscal drag to real wage only, use Wage. Neither is applied unless</t>
  </si>
  <si>
    <t>fiscal drag is selected above. Anything other than Inflation or Wage applies full fiscal drag, provided fiscal drag is selected above.</t>
  </si>
  <si>
    <r>
      <t>plus</t>
    </r>
    <r>
      <rPr>
        <sz val="10"/>
        <rFont val="Times New Roman"/>
        <family val="1"/>
      </rPr>
      <t xml:space="preserve"> other CE and SOE financial assets other than Student Loans (net of eliminations)</t>
    </r>
  </si>
  <si>
    <t>Put in amounts, in $ billion, for first projected year values of the Operating and Capital Allowances.</t>
  </si>
  <si>
    <t>These are the economic variables most often altered in scenarios, especially the labour productivity growth in projected years.</t>
  </si>
  <si>
    <t>For annual growth equal to that of Nominal GDP, use GDP. For annual growth equal to that of inflation, use CPI.</t>
  </si>
  <si>
    <t>Present policy ensures NZS stays above a set % of average wage. To model this, use Yes.</t>
  </si>
  <si>
    <t>To model NZS expenditure in projected years with just CPI growth and no wage floor, use No.</t>
  </si>
  <si>
    <t>To hold gross sovereign-issued debt (GSID) constant in projections until DMO excess funds are exhausted, use Yes.</t>
  </si>
  <si>
    <t>Any other choice will ensure GSID is used as the Core Crown balancing item in all projected years.</t>
  </si>
  <si>
    <t xml:space="preserve">Allocating the Operating Allowance enables individual expenditure categories to be grown. The remaining % allocation goes to </t>
  </si>
  <si>
    <t>to the "Other Expenditure" category. If allocation is not selected, the choice of the allocation %'s is immaterial.</t>
  </si>
  <si>
    <t>Total Crown cash, cash equivalents KiwiBank mortgages and advances other than Student Loans</t>
  </si>
  <si>
    <r>
      <t>plus</t>
    </r>
    <r>
      <rPr>
        <sz val="10"/>
        <rFont val="Times New Roman"/>
        <family val="1"/>
      </rPr>
      <t xml:space="preserve"> KiwiBank Mortgages</t>
    </r>
  </si>
  <si>
    <r>
      <t>plus</t>
    </r>
    <r>
      <rPr>
        <sz val="10"/>
        <rFont val="Times New Roman"/>
        <family val="1"/>
      </rPr>
      <t xml:space="preserve"> other CE and SOE financial assets other than Student Loans</t>
    </r>
  </si>
  <si>
    <r>
      <t>plus</t>
    </r>
    <r>
      <rPr>
        <sz val="10"/>
        <rFont val="Times New Roman"/>
        <family val="1"/>
      </rPr>
      <t>KiwiBank Mortgages</t>
    </r>
  </si>
  <si>
    <t>Allocating the Capital Allowances enables individual asset classes to be grown.</t>
  </si>
  <si>
    <t>Core Crown finance costs (including exchange rate losses/[gains])</t>
  </si>
  <si>
    <t>Total Crown finance costs (including exchange rate losses/[gains])</t>
  </si>
  <si>
    <t>Real growth of other non-finance cost expenses</t>
  </si>
  <si>
    <t>SCENARIO NAME:</t>
  </si>
  <si>
    <t>2011/12</t>
  </si>
  <si>
    <t>2010/11</t>
  </si>
  <si>
    <t>2009/10</t>
  </si>
  <si>
    <t>2008/09</t>
  </si>
  <si>
    <t>2007/08</t>
  </si>
  <si>
    <t>KEY ECONOMIC ASSUMPTIONS</t>
  </si>
  <si>
    <t>Labour Productivity Growth</t>
  </si>
  <si>
    <t>Inflation Rate</t>
  </si>
  <si>
    <t>KEY FISCAL POLICY ASSUMPTIONS</t>
  </si>
  <si>
    <t>Include Fiscal Drag</t>
  </si>
  <si>
    <t>Health</t>
  </si>
  <si>
    <t>Defence</t>
  </si>
  <si>
    <t>Other</t>
  </si>
  <si>
    <t>Unemployment Rate</t>
  </si>
  <si>
    <t>Males</t>
  </si>
  <si>
    <t>Climate Change Policy Assumptions</t>
  </si>
  <si>
    <t xml:space="preserve">The Kyoto liability is included in fiscal forecasts and represents the Government's obligation for Commitment </t>
  </si>
  <si>
    <t>Period 1. However, the model does not project an estimate of net emission liabilities that may evenutate under future</t>
  </si>
  <si>
    <t>and timing of any future liability.</t>
  </si>
  <si>
    <t xml:space="preserve">The model does include a revenue and an expense track from the Emissions Trading Scheme (ETS), as the ETS is intended to 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</si>
  <si>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</si>
  <si>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</si>
  <si>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</si>
  <si>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</si>
  <si>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</si>
  <si>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</si>
  <si>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</si>
  <si>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</si>
  <si>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</si>
  <si>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</si>
  <si>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</si>
  <si>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</si>
  <si>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</si>
  <si>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</si>
  <si>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</si>
  <si>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</si>
  <si>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</si>
  <si>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</si>
  <si>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</si>
  <si>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</si>
  <si>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</si>
  <si>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</si>
  <si>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</si>
  <si>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</si>
  <si>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</si>
  <si>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</si>
  <si>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</si>
  <si>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</si>
  <si>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SOE/CE investment income</t>
  </si>
  <si>
    <t>Expenses</t>
  </si>
  <si>
    <r>
      <t xml:space="preserve">less </t>
    </r>
    <r>
      <rPr>
        <sz val="10"/>
        <rFont val="Times New Roman"/>
        <family val="1"/>
      </rPr>
      <t>expenses</t>
    </r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</si>
  <si>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</si>
  <si>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</si>
  <si>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</si>
  <si>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</si>
  <si>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</si>
  <si>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</si>
  <si>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</si>
  <si>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</si>
  <si>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</si>
  <si>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</si>
  <si>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</si>
  <si>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</si>
  <si>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</si>
  <si>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36/37</t>
  </si>
  <si>
    <t>37/38</t>
  </si>
  <si>
    <t>38/39</t>
  </si>
  <si>
    <t>39/40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</si>
  <si>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</si>
  <si>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</si>
  <si>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</si>
  <si>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</si>
  <si>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</si>
  <si>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</si>
  <si>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</si>
  <si>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</si>
  <si>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48/49</t>
  </si>
  <si>
    <t>49/50</t>
  </si>
  <si>
    <t>obtained from</t>
  </si>
  <si>
    <t>SNZ Population: 2006 Base: Series 5</t>
  </si>
  <si>
    <t>1st Proj Yr</t>
  </si>
  <si>
    <t>Total Population (in millions)</t>
  </si>
  <si>
    <t>Males (ages in years)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</si>
  <si>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</si>
  <si>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</si>
  <si>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</si>
  <si>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</si>
  <si>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</si>
  <si>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</si>
  <si>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</si>
  <si>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</si>
  <si>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</si>
  <si>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</si>
  <si>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</si>
  <si>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</si>
  <si>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</si>
  <si>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</si>
  <si>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</si>
  <si>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</si>
  <si>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</si>
  <si>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</si>
  <si>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</si>
  <si>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</si>
  <si>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</si>
  <si>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</si>
  <si>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</si>
  <si>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</si>
  <si>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</si>
  <si>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</si>
  <si>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</si>
  <si>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</si>
  <si>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</si>
  <si>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</si>
  <si>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</si>
  <si>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</si>
  <si>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</si>
  <si>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</si>
  <si>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</si>
  <si>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</si>
  <si>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</si>
  <si>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</si>
  <si>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</si>
  <si>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</si>
  <si>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</si>
  <si>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</si>
  <si>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</si>
  <si>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</si>
  <si>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</si>
  <si>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</si>
  <si>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</si>
  <si>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</si>
  <si>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</si>
  <si>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</si>
  <si>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</si>
  <si>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</si>
  <si>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</si>
  <si>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</si>
  <si>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</si>
  <si>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</si>
  <si>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</si>
  <si>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</si>
  <si>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</si>
  <si>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</si>
  <si>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</si>
  <si>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</si>
  <si>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</si>
  <si>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</si>
  <si>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</si>
  <si>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</si>
  <si>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</si>
  <si>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</si>
  <si>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</si>
  <si>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</si>
  <si>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</si>
  <si>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</si>
  <si>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</si>
  <si>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</si>
  <si>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</si>
  <si>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</si>
  <si>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</si>
  <si>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</si>
  <si>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</si>
  <si>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</si>
  <si>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</si>
  <si>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</si>
  <si>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</si>
  <si>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</si>
  <si>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</si>
  <si>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</si>
  <si>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</si>
  <si>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</si>
  <si>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</si>
  <si>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</si>
  <si>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 and above</t>
  </si>
  <si>
    <t>Total Male population (in millions)</t>
  </si>
  <si>
    <t>Females (ages in years)</t>
  </si>
  <si>
    <t>Total Female population (in millions)</t>
  </si>
  <si>
    <t>NOTE F.1: HEALTH MALE DEMOGRAPHICS (USES COST WEIGHTS)</t>
  </si>
  <si>
    <t>NOTE F.1: HEALTH FEMALE DEMOGRAPHICS (USES COST WEIGHTS)</t>
  </si>
  <si>
    <t>50/51</t>
  </si>
  <si>
    <t>51/52</t>
  </si>
  <si>
    <t>52/53</t>
  </si>
  <si>
    <t>53/54</t>
  </si>
  <si>
    <t>Labour Force Participation</t>
  </si>
  <si>
    <t>54/55</t>
  </si>
  <si>
    <t>55/56</t>
  </si>
  <si>
    <t>56/57</t>
  </si>
  <si>
    <t>57/58</t>
  </si>
  <si>
    <t>58/59</t>
  </si>
  <si>
    <t>59/60</t>
  </si>
  <si>
    <t>60/61</t>
  </si>
  <si>
    <t>61/62</t>
  </si>
  <si>
    <t>62/63</t>
  </si>
  <si>
    <t>65/64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</si>
  <si>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</si>
  <si>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</si>
  <si>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</si>
  <si>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</si>
  <si>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</si>
  <si>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</si>
  <si>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</si>
  <si>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</si>
  <si>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</si>
  <si>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</si>
  <si>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</si>
  <si>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</si>
  <si>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</si>
  <si>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</si>
  <si>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</si>
  <si>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</si>
  <si>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</si>
  <si>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</si>
  <si>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</si>
  <si>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</si>
  <si>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</si>
  <si>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</si>
  <si>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</si>
  <si>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</si>
  <si>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</si>
  <si>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</si>
  <si>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</si>
  <si>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</si>
  <si>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</si>
  <si>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</si>
  <si>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</si>
  <si>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99/100</t>
  </si>
  <si>
    <t>Summary description file</t>
  </si>
  <si>
    <t>Fiscal Forecasts</t>
  </si>
  <si>
    <t>Economic Forecasts</t>
  </si>
  <si>
    <t>Demographic Forecasts</t>
  </si>
  <si>
    <t>Benefit Forecasts</t>
  </si>
  <si>
    <t>Long run expected return of 8.65% before tax or 6.57% after tax</t>
  </si>
  <si>
    <t>BEFU 2008 Student Loan track beyond the forecast horizon, i.e. from 2011/12 onwards</t>
  </si>
  <si>
    <t>Projected track from IRD up to 2016/17. Beyond this, grown at same rate as total population.</t>
  </si>
  <si>
    <t>$900 million</t>
  </si>
  <si>
    <t>Elasticity of 1.4 applied to salary/wage per worker in projecting source deductions (PAYE) tax revenue</t>
  </si>
  <si>
    <t xml:space="preserve">Post-forecast projection of Nominal GDP is based on a projection from the Treasury macroeconomic forecasting model. </t>
  </si>
  <si>
    <t>Projected Nominal GDP track</t>
  </si>
  <si>
    <t>Gains and losses result from changes in the fair value of assets and liabilities. An example is capital gains on shares</t>
  </si>
  <si>
    <t>as opposed to dividend revenue. Projections of net gains use assumptions about the proportion of total returns</t>
  </si>
  <si>
    <t>on financial portfolios attributed to gains and losses. Core Crown net gains are primarily attributable to gains on the</t>
  </si>
  <si>
    <t xml:space="preserve">NZS Fund portfolio. Total Crown net gains include these as well as an assumption that 50% of ACC and EQC </t>
  </si>
  <si>
    <t>portfolio total returns are due to net gains. The assumed proportions are approximations only.</t>
  </si>
  <si>
    <t>Changes can be made to the assumed %'s of ACC and EQC total returns from interest and/or dividends.</t>
  </si>
  <si>
    <t>Both</t>
  </si>
  <si>
    <t>NZ Superannuation Fund (NZSF)</t>
  </si>
  <si>
    <t>Government Superannuation Fund (GSF)</t>
  </si>
  <si>
    <t>Student Loans Track (TESLA)</t>
  </si>
  <si>
    <t>Health Weights</t>
  </si>
  <si>
    <t>Employment (= LF x (1-Unemployment rate)) (millions)</t>
  </si>
  <si>
    <t>Capital contribution</t>
  </si>
  <si>
    <t>NZSF net investment portfolio, including cross-holdings</t>
  </si>
  <si>
    <t>Assets</t>
  </si>
  <si>
    <t>CHECKS: CALCULATIONS COMPARED TO ACTUALS &amp; FORECASTS</t>
  </si>
  <si>
    <t>Core Crown Operating Balance</t>
  </si>
  <si>
    <r>
      <t xml:space="preserve">Total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</si>
  <si>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t xml:space="preserve">RB and DMO cash and cash equivalents </t>
  </si>
  <si>
    <t>GDP deflator</t>
  </si>
  <si>
    <r>
      <t xml:space="preserve">Core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</si>
  <si>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 xml:space="preserve">less </t>
    </r>
    <r>
      <rPr>
        <sz val="10"/>
        <rFont val="Times New Roman"/>
        <family val="1"/>
      </rPr>
      <t>Eliminations</t>
    </r>
  </si>
  <si>
    <r>
      <t>plus</t>
    </r>
    <r>
      <rPr>
        <sz val="10"/>
        <rFont val="Times New Roman"/>
        <family val="1"/>
      </rPr>
      <t xml:space="preserve"> Elimination</t>
    </r>
  </si>
  <si>
    <t>NOTE B: OTHER NON-INVESTMENT INCOME</t>
  </si>
  <si>
    <t>Total Crown other non-investment income</t>
  </si>
  <si>
    <t>Core Crown other non-investment income</t>
  </si>
  <si>
    <t>NOTE C: INVESTMENT INCOME</t>
  </si>
  <si>
    <t>Elimination on ACC investment income</t>
  </si>
  <si>
    <t>Elimination on EQC investment income</t>
  </si>
  <si>
    <r>
      <t>less</t>
    </r>
    <r>
      <rPr>
        <sz val="10"/>
        <rFont val="Times New Roman"/>
        <family val="1"/>
      </rPr>
      <t xml:space="preserve"> Elimination</t>
    </r>
  </si>
  <si>
    <t>Gross earnings on fund assets</t>
  </si>
  <si>
    <t>Tax paid on earnings on fund assets</t>
  </si>
  <si>
    <t>GSF Pension Expense</t>
  </si>
  <si>
    <t>(Billions of $NZ)</t>
  </si>
  <si>
    <t>(Millions of $NZ)</t>
  </si>
  <si>
    <t>Borrowing</t>
  </si>
  <si>
    <t>Gross Interest</t>
  </si>
  <si>
    <t>Repayments</t>
  </si>
  <si>
    <t>Other Write-Offs</t>
  </si>
  <si>
    <t>Outstanding Loans</t>
  </si>
  <si>
    <t>Invalids Benefit</t>
  </si>
  <si>
    <t>Sickness Benefit</t>
  </si>
  <si>
    <t>Education</t>
  </si>
  <si>
    <t>Domestic Purposes</t>
  </si>
  <si>
    <r>
      <t>plus</t>
    </r>
    <r>
      <rPr>
        <sz val="10"/>
        <rFont val="Times New Roman"/>
        <family val="1"/>
      </rPr>
      <t xml:space="preserve"> Interest unwind</t>
    </r>
  </si>
  <si>
    <t>Student Loan New Op Bal = Op Bal + Borrow - FV write-down - Repay + Int - Impair + Oth</t>
  </si>
  <si>
    <t>Core Crown advances</t>
  </si>
  <si>
    <t>Other Core Crown holdings</t>
  </si>
  <si>
    <r>
      <t>less</t>
    </r>
    <r>
      <rPr>
        <sz val="10"/>
        <rFont val="Times New Roman"/>
        <family val="1"/>
      </rPr>
      <t xml:space="preserve"> Eliminations</t>
    </r>
  </si>
  <si>
    <t>READY RECKONER (RR)</t>
  </si>
  <si>
    <t>Ready Reckoner match to forecast years</t>
  </si>
  <si>
    <t>Fiscal RR addition to investment income</t>
  </si>
  <si>
    <t>Fiscal RR addition to expenses ex finance costs, via operating allowance</t>
  </si>
  <si>
    <t>Fiscal RR addition to finance costs</t>
  </si>
  <si>
    <t>Fiscal RR non-operating balance additions to debt</t>
  </si>
  <si>
    <t>Fiscal RR annual addition to gross debt</t>
  </si>
  <si>
    <t>Fiscal RR addition to financial assets</t>
  </si>
  <si>
    <t>Fiscal RR addition to other assets, via capital allowance</t>
  </si>
  <si>
    <t>Fiscal RR addition to liabilities other than debt</t>
  </si>
  <si>
    <t>Fiscal RR addition to gross debt</t>
  </si>
  <si>
    <t>Fiscal RR addition to net worth</t>
  </si>
  <si>
    <t>Economic RR addition to revenue</t>
  </si>
  <si>
    <t>Scenario B</t>
  </si>
  <si>
    <t>Scenario A</t>
  </si>
  <si>
    <t>2012/13</t>
  </si>
  <si>
    <t>BEFU 2008: ECONOMIC AND FISCAL DATA</t>
  </si>
  <si>
    <t>Demographic Assumptions (2006 Base)</t>
  </si>
  <si>
    <t>Based on data from the Accident Compensation Corporation. Cost weights averaged over 2001/02 to 2005/06.</t>
  </si>
  <si>
    <t xml:space="preserve">Real GDP (production) </t>
  </si>
  <si>
    <t>Forecast annual new GDP growth</t>
  </si>
  <si>
    <t>Forecast new CPI (Dec qtr apc)</t>
  </si>
  <si>
    <t>Net Core Crown Debt with NZS Fund assets to GDP (Core Crown)</t>
  </si>
  <si>
    <t>Core Crown marketable securities, derivatives in gain and share investments (LESS ADVANCES)</t>
  </si>
  <si>
    <t>less elimination</t>
  </si>
  <si>
    <r>
      <t>plus</t>
    </r>
    <r>
      <rPr>
        <sz val="10"/>
        <rFont val="Times New Roman"/>
        <family val="1"/>
      </rPr>
      <t xml:space="preserve"> Interest</t>
    </r>
  </si>
  <si>
    <t>Fiscal RR addition to operating balance</t>
  </si>
  <si>
    <t>Gains &amp; Losses Projection Assumptions</t>
  </si>
  <si>
    <t>Economic RR addition to operating balance</t>
  </si>
  <si>
    <t>Total RR addition to operating balance</t>
  </si>
  <si>
    <t>Other core crown holdings</t>
  </si>
  <si>
    <t>CPI (Dec qtr apc)</t>
  </si>
  <si>
    <t>Economic RR addition to expenses ex finance costs</t>
  </si>
  <si>
    <t>Economic RR addition to finance costs</t>
  </si>
  <si>
    <t>Economic RR annual addition to gross debt</t>
  </si>
  <si>
    <t>Economic RR addition to gross debt</t>
  </si>
  <si>
    <t>Check against forecast</t>
  </si>
  <si>
    <t>Total RR annual addition to gross debt</t>
  </si>
  <si>
    <t>Total RR addition to net worth</t>
  </si>
  <si>
    <t>Economic RR</t>
  </si>
  <si>
    <t>no</t>
  </si>
  <si>
    <t>Fiscal RR</t>
  </si>
  <si>
    <t>Nominal GDP</t>
  </si>
  <si>
    <t>CPI</t>
  </si>
  <si>
    <t>Labour force</t>
  </si>
  <si>
    <t>Unemployment  rate</t>
  </si>
  <si>
    <t>Average weekly hours</t>
  </si>
  <si>
    <t>Other indirect taxation</t>
  </si>
  <si>
    <t>AGE GROUP</t>
  </si>
  <si>
    <t>Other classes of expenditure</t>
  </si>
  <si>
    <t>FEMALE</t>
  </si>
  <si>
    <t>MALE</t>
  </si>
  <si>
    <t>65 and above</t>
  </si>
  <si>
    <t>Unemployment Ben</t>
  </si>
  <si>
    <t>SCENARIO</t>
  </si>
  <si>
    <t>Operating Balance</t>
  </si>
  <si>
    <t>Gross Debt</t>
  </si>
  <si>
    <t>Net Worth</t>
  </si>
  <si>
    <t>Prices:</t>
  </si>
  <si>
    <t>Labour market:</t>
  </si>
  <si>
    <t>NOTES TO THE FISCAL STATEMENTS</t>
  </si>
  <si>
    <t>Net NZS married individual (CPI-indexed 1 April)</t>
  </si>
  <si>
    <t>Yes</t>
  </si>
  <si>
    <t>No</t>
  </si>
  <si>
    <t>Opening Balance</t>
  </si>
  <si>
    <t xml:space="preserve">to a level more consistent with that expected to prevail in the long term. </t>
  </si>
  <si>
    <t>The imposed nominal GDP track includes a reduction in the terms of trade over the early projection years</t>
  </si>
  <si>
    <t>Settlement Cash</t>
  </si>
  <si>
    <t>Closing Balance</t>
  </si>
  <si>
    <t>FISCAL YEAR (JULY TO JUNE)</t>
  </si>
  <si>
    <t>Percentage change</t>
  </si>
  <si>
    <t>ANNUAL CONVERGENCE RATES</t>
  </si>
  <si>
    <t>Participation rate (15+ popn)</t>
  </si>
  <si>
    <t>Core Crown health expenditure</t>
  </si>
  <si>
    <t>Total Crown health expenditure</t>
  </si>
  <si>
    <t>Core Crown education expenditure</t>
  </si>
  <si>
    <t>Total Crown education expenditure</t>
  </si>
  <si>
    <t>Real growth of education</t>
  </si>
  <si>
    <t>Core Crown other expenses</t>
  </si>
  <si>
    <t>Closing Fund Balance</t>
  </si>
  <si>
    <t>Check by calculation</t>
  </si>
  <si>
    <t>Net December quarter average wage</t>
  </si>
  <si>
    <t>NZ Super Floor (as % of average wage)</t>
  </si>
  <si>
    <t>Net NZS for married individual (CPI-indexed 1 April)</t>
  </si>
  <si>
    <t>Average Wage floor applied to NZS growth</t>
  </si>
  <si>
    <t>SOCIAL WELFARE BENEFITS: AGE AND GENDER PROPORTIONS</t>
  </si>
  <si>
    <t>Proj Yr1</t>
  </si>
  <si>
    <t>Finance costs</t>
  </si>
  <si>
    <t>Tax Revenue</t>
  </si>
  <si>
    <t>Net Core Crown debt</t>
  </si>
  <si>
    <t>Government 10-year Bond Rate</t>
  </si>
  <si>
    <t>Real GDP (Base = 1995/96)</t>
  </si>
  <si>
    <t>Real GDP (production), Base = 1995/96</t>
  </si>
  <si>
    <t>Allowance for New Capital Expenditure</t>
  </si>
  <si>
    <t>Personal Taxation Elasticity (for Fiscal Drag)</t>
  </si>
  <si>
    <t>Base</t>
  </si>
  <si>
    <t>If selected value for Inflation Rate, Government 10-year Bond Rate or Unemployment Rate does not match final forecast year value,</t>
  </si>
  <si>
    <t>each converges to selected value at annual rate of change selected below. Enter annual change as a positive value, because model</t>
  </si>
  <si>
    <t>takes into account whether increase or decrease is needed. (Convergence rate immaterial if selection matches final forecast year).</t>
  </si>
  <si>
    <t>Picked up by formula from "Data" worksheet.</t>
  </si>
  <si>
    <t>TOTAL CROWN - Operating Statement Analysis</t>
  </si>
  <si>
    <t>ASSUMPTIONS FOR SCENARIOS</t>
  </si>
  <si>
    <t>TOTAL CROWN - Balance Sheet Analysis</t>
  </si>
  <si>
    <t>CORE CROWN - Operating Statement Analysis</t>
  </si>
  <si>
    <t>CORE CROWN - Balance Sheet Analysis</t>
  </si>
  <si>
    <t>INDEXATION OF NZ SUPERANNUATION (NZS)</t>
  </si>
  <si>
    <t>2006 cost weights supplied by Ministry of Health</t>
  </si>
  <si>
    <t>Base Assumptions in Projected years</t>
  </si>
  <si>
    <t>KiwiSaver</t>
  </si>
  <si>
    <t>DMO financial asset run down</t>
  </si>
  <si>
    <t>OBEGAL excluding NZS Fund retained revenue</t>
  </si>
  <si>
    <t>HEALTH COST WEIGHTS IN THE LONG TERM FISCAL MODEL (2005/06 $)</t>
  </si>
  <si>
    <t>IN 2005/06 ($M)</t>
  </si>
  <si>
    <t>Labour Force participation rates</t>
  </si>
  <si>
    <t>A 65+</t>
  </si>
  <si>
    <t>Total Female</t>
  </si>
  <si>
    <t>Total Male</t>
  </si>
  <si>
    <t>Total for Population</t>
  </si>
  <si>
    <t>Total Labour Force</t>
  </si>
  <si>
    <t>GSF Liability (net discount)</t>
  </si>
  <si>
    <t>TYPE OF FISCAL DRAG MODELLED</t>
  </si>
  <si>
    <t>Gross December quarter average wage</t>
  </si>
  <si>
    <t>Tax on gross December quarter average wage</t>
  </si>
  <si>
    <t>Total gross sovereign-issued debt</t>
  </si>
  <si>
    <t>Liabilities excluding Gross Debt</t>
  </si>
  <si>
    <t>Entire population</t>
  </si>
  <si>
    <t>Dynamic cohort model</t>
  </si>
  <si>
    <t>Growth due to demographics</t>
  </si>
  <si>
    <t>Real growth of NZS</t>
  </si>
  <si>
    <t>Total annual growth</t>
  </si>
  <si>
    <t>Social Welfare (excluding NZS)</t>
  </si>
  <si>
    <t>Core Crown property, plant and equipment</t>
  </si>
  <si>
    <t>Total Crown property, plant and equipment</t>
  </si>
  <si>
    <t>Core Crown other non-financial assets</t>
  </si>
  <si>
    <t>Core Crown non-debt liabilities</t>
  </si>
  <si>
    <t>Total Crown non-debt liabilities</t>
  </si>
  <si>
    <t>Real growth of social welfare (excluding NZS)</t>
  </si>
  <si>
    <t>Tax on gross NZ Superannuation expenditure</t>
  </si>
  <si>
    <t>Total Assets to GDP (Core Crown)</t>
  </si>
  <si>
    <t>Real growth of health</t>
  </si>
  <si>
    <t>Other Non-Finance Expenses</t>
  </si>
  <si>
    <t>All monetary values are in units of billions of $NZ</t>
  </si>
  <si>
    <t>Net Interest (=Gross - Interest W-Os)</t>
  </si>
  <si>
    <t>Interest Write-Offs</t>
  </si>
  <si>
    <t>Source deductions</t>
  </si>
  <si>
    <t>Other persons</t>
  </si>
  <si>
    <t>Refunds</t>
  </si>
  <si>
    <t>Fringe benefit tax</t>
  </si>
  <si>
    <t>Working age population (SNZ 15+ popn) (millions)</t>
  </si>
  <si>
    <t>Labour Force (millions)</t>
  </si>
  <si>
    <t>Labour productivity growth</t>
  </si>
  <si>
    <t>Average hourly wage growth (ordinary time)</t>
  </si>
  <si>
    <t>Gross Dec qtr average weekly wage (ordinary time)</t>
  </si>
  <si>
    <t>63/64</t>
  </si>
  <si>
    <t>Hourly wage growth (ordinary time)</t>
  </si>
  <si>
    <t>Gross Sovereign-issued Debt (GSID)</t>
  </si>
  <si>
    <t>Last fiscal year to which fiscal drag is applied</t>
  </si>
  <si>
    <t>Interest Cost Sensitivities</t>
  </si>
  <si>
    <t>85+</t>
  </si>
  <si>
    <t>DSS UNDER 65</t>
  </si>
  <si>
    <t xml:space="preserve">   DSS OLDER</t>
  </si>
  <si>
    <t>MOH</t>
  </si>
  <si>
    <t>Age Band</t>
  </si>
  <si>
    <t>20 - 29</t>
  </si>
  <si>
    <t>30 - 39</t>
  </si>
  <si>
    <t>40 - 49</t>
  </si>
  <si>
    <t>50 - 59</t>
  </si>
  <si>
    <t>65+</t>
  </si>
  <si>
    <t>TOTAL PAYMENTS</t>
  </si>
  <si>
    <t>NON-EARNERS ACCOUNT</t>
  </si>
  <si>
    <t>ACC payments to claimants</t>
  </si>
  <si>
    <t>18 &amp;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</si>
  <si>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</si>
  <si>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</si>
  <si>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</si>
  <si>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</si>
  <si>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</si>
  <si>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</si>
  <si>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</si>
  <si>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</si>
  <si>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</si>
  <si>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Percentages of population</t>
  </si>
  <si>
    <t>Under 20 (driven by 18 &amp; 19 yr olds)</t>
  </si>
  <si>
    <t>Population 1-4  (Early Childhood Education)</t>
  </si>
  <si>
    <t>Population 18-24  (Tertiary Education)</t>
  </si>
  <si>
    <t>Population 5-12 &amp; 13-17 combined  (Prim &amp; Sec Education)</t>
  </si>
  <si>
    <t>Population 65+ (NZS recipients)</t>
  </si>
  <si>
    <t>NZS Fund eliminated expenses</t>
  </si>
  <si>
    <t>NZS Fund eliminated expense</t>
  </si>
  <si>
    <t>Population 0-19  (Family Support recipients)</t>
  </si>
  <si>
    <t>Population 15+  (Accomm, Disability &amp; minor ben recipients)</t>
  </si>
  <si>
    <t>Female population 18 &amp; 19</t>
  </si>
  <si>
    <t>Historical fiscal years</t>
  </si>
  <si>
    <t>Forecast fiscal years</t>
  </si>
  <si>
    <t>Projected fiscal years begin with</t>
  </si>
  <si>
    <t>Unemployment Benefit (UB)</t>
  </si>
  <si>
    <t>Growth due to inflation</t>
  </si>
  <si>
    <t>ECONOMIC READY RECKONER</t>
  </si>
  <si>
    <t>Male population 18 &amp; 19</t>
  </si>
  <si>
    <t>Female population 20 to 24</t>
  </si>
  <si>
    <t>Male population 20 to 24</t>
  </si>
  <si>
    <t>Female population 25 to 29</t>
  </si>
  <si>
    <t>Male population 25 to 29</t>
  </si>
  <si>
    <t>Female population 30 to 34</t>
  </si>
  <si>
    <t>Female population 35 to 39</t>
  </si>
  <si>
    <t>Male population 30 to 34</t>
  </si>
  <si>
    <t>Male population 35 to 39</t>
  </si>
  <si>
    <t>Female population 40 to 44</t>
  </si>
  <si>
    <t>Female population 45 to 49</t>
  </si>
  <si>
    <t>Female population 50 to 54</t>
  </si>
  <si>
    <t>Female population 55 to 59</t>
  </si>
  <si>
    <t>Female population 60 to 64</t>
  </si>
  <si>
    <t>Female population 65+</t>
  </si>
  <si>
    <t>Male population 40 to 44</t>
  </si>
  <si>
    <t>Male population 45 to 49</t>
  </si>
  <si>
    <t>Male population 50 to 54</t>
  </si>
  <si>
    <t>Male population 55 to 59</t>
  </si>
  <si>
    <t>Male population 60 to 64</t>
  </si>
  <si>
    <t>Male population 65+</t>
  </si>
  <si>
    <t>NZSF investment income elimination</t>
  </si>
  <si>
    <t>NZSF portfolio (excluding cross-holdings of Govt stock)</t>
  </si>
  <si>
    <t>DATA FROM MACROFORECASTING</t>
  </si>
  <si>
    <t>TOTAL COST</t>
  </si>
  <si>
    <t>EQC portfolio (including cross-holdings of Govt stock)</t>
  </si>
  <si>
    <t>EQC portfolio (excluding cross-holdings of Govt stock)</t>
  </si>
  <si>
    <t>Other taxes, including GST</t>
  </si>
  <si>
    <t>Total Crown tax revenue</t>
  </si>
  <si>
    <t>Domestic Purposes Benefit, Invalid's Benefit and Sickness Benefit</t>
  </si>
  <si>
    <t>Average of three</t>
  </si>
  <si>
    <t>Other welfare assistance and expenses</t>
  </si>
  <si>
    <t>Crown entity social welfare (mainly ACC related)</t>
  </si>
  <si>
    <t>ACC expenses</t>
  </si>
  <si>
    <t>ACC portfolio (including cross-holdings of Govt stock)</t>
  </si>
  <si>
    <t>Allocate Capital Allowance (to Property, Plant &amp; Equipment)</t>
  </si>
  <si>
    <t>ACC portfolio (excluding cross-holdings of Govt stock)</t>
  </si>
  <si>
    <t>New Zealand Superannuation (NZS)</t>
  </si>
  <si>
    <t xml:space="preserve">The following input tracks are obtained from various sources both within and external to Treasury and act as exogenous inputs to the model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</si>
  <si>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</si>
  <si>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</si>
  <si>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</si>
  <si>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</si>
  <si>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</si>
  <si>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</si>
  <si>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</si>
  <si>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</si>
  <si>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</si>
  <si>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</si>
  <si>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</si>
  <si>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</si>
  <si>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</si>
  <si>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</si>
  <si>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</si>
  <si>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</si>
  <si>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</si>
  <si>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TOTAL</t>
  </si>
  <si>
    <t>PERSONAL HEALTH</t>
  </si>
  <si>
    <t xml:space="preserve">EXPENDITURE CATEGORY    </t>
  </si>
  <si>
    <t>AGE GROUP / GENDER</t>
  </si>
  <si>
    <t>MENTAL HEALTH</t>
  </si>
  <si>
    <t>PUBLIC HEALTH</t>
  </si>
  <si>
    <t>TOTAL HEALTH</t>
  </si>
  <si>
    <t>Females</t>
  </si>
  <si>
    <t>A 15-19</t>
  </si>
  <si>
    <t>A 20-24</t>
  </si>
  <si>
    <t>A 25-29</t>
  </si>
  <si>
    <t>A 30-34</t>
  </si>
  <si>
    <t>A 35-39</t>
  </si>
  <si>
    <t>A 40-44</t>
  </si>
  <si>
    <t>A 45-49</t>
  </si>
  <si>
    <t>A 50-54</t>
  </si>
  <si>
    <t>A 55-59</t>
  </si>
  <si>
    <t>A 60-64</t>
  </si>
  <si>
    <t>Forecast New Operating Spending (indicates Allowance, whether allocated or not)</t>
  </si>
  <si>
    <t>Forecast New Capital Spending (indicates Allowance, whether allocated or not)</t>
  </si>
  <si>
    <t>NOTE A: TAX REVENUE</t>
  </si>
  <si>
    <t>NOTE H: OTHER EXPENDITURE</t>
  </si>
  <si>
    <t>This version of the FSM uses:</t>
  </si>
  <si>
    <t>Labour Productivity growth</t>
  </si>
  <si>
    <t>CONTRIBUTIONS TO CORE CROWN EXPENSE GROWTH</t>
  </si>
  <si>
    <r>
      <t>plus</t>
    </r>
    <r>
      <rPr>
        <sz val="10"/>
        <rFont val="Times New Roman"/>
        <family val="1"/>
      </rPr>
      <t xml:space="preserve"> NZS Fund cross-holdings of Government stock to give GSID</t>
    </r>
  </si>
  <si>
    <t>Top-down expense adjustment</t>
  </si>
  <si>
    <t>Net surplus/(deficit) from associates and joint ventures</t>
  </si>
  <si>
    <t>Operating balance before gains/(losses) OBEGAL</t>
  </si>
  <si>
    <t>Total Crown revenue (excluding gains)</t>
  </si>
  <si>
    <t>Total Crown expenses (excluding losses)</t>
  </si>
  <si>
    <t>Other sovereign revenue</t>
  </si>
  <si>
    <t>Investment revenue and dividends</t>
  </si>
  <si>
    <t xml:space="preserve">Net gains/(losses) on financial instruments </t>
  </si>
  <si>
    <t>Net Core Crown Debt</t>
  </si>
  <si>
    <t>Net Core Crown Debt less NZS Fund assets</t>
  </si>
  <si>
    <t>Net Core Crown Debt to GDP (Core Crown)</t>
  </si>
  <si>
    <t>Core Crown cash, cash equivalents and advances other than Student Loans</t>
  </si>
  <si>
    <t>SOE dividends paid to Crown</t>
  </si>
  <si>
    <t>CE dividends paid to Crown</t>
  </si>
  <si>
    <t>RB and DMO marketable securities, derivatives in gain and share investments</t>
  </si>
  <si>
    <t>NOTE K: ACCIDENT COMPENSATION COMMISSION (ACC)</t>
  </si>
  <si>
    <t>NOTE K.1: ACC PAYMENTS DEMOGRAPHIC DRIVER (USES COST WEIGHTS)</t>
  </si>
  <si>
    <t>NOTE L: EARTHQUAKE COMMISSION (EQC)</t>
  </si>
  <si>
    <t>NOTE M: MARKETABLE SECURITIES, DERIVATIVES &amp; SHARE INVESTMENTS</t>
  </si>
  <si>
    <t>NOTE O: OTHER FINANCIAL ASSETS</t>
  </si>
  <si>
    <t>NOTE U.1: RB SETTLEMENT CASH EXCLUDED FROM GSID</t>
  </si>
  <si>
    <t>NOTE U.2: DMO EXCESS FUNDS TO REDUCE GSID CONSTANT</t>
  </si>
  <si>
    <t>Dividends from SOEs and CEs</t>
  </si>
  <si>
    <t>Net gains/(losses) on non-financial instruments and discontinued operations</t>
  </si>
  <si>
    <t>Issued Currency</t>
  </si>
  <si>
    <t>Payables</t>
  </si>
  <si>
    <t>Defined benefit retirement plan liabilities</t>
  </si>
  <si>
    <t>Insurance liabilities</t>
  </si>
  <si>
    <t>Provisions</t>
  </si>
  <si>
    <t>Forecast Statement of Borrowings</t>
  </si>
  <si>
    <t>Deferred revenue</t>
  </si>
  <si>
    <t>Settlement deposits with the Reserve Bank</t>
  </si>
  <si>
    <t>Other borrowings</t>
  </si>
  <si>
    <t>Cash and cash equivalents</t>
  </si>
  <si>
    <t>Marketable securities and derivatives in gain</t>
  </si>
  <si>
    <t>Share investments</t>
  </si>
  <si>
    <t>Inventory</t>
  </si>
  <si>
    <t>Prepayments and other assets</t>
  </si>
  <si>
    <t>Equity accounted investments (including TEIs)</t>
  </si>
  <si>
    <t>Top-down capital adjustment</t>
  </si>
  <si>
    <t>Intangible assets and goodwill</t>
  </si>
  <si>
    <t>Total Net Worth</t>
  </si>
  <si>
    <t>Total Crown gross debt</t>
  </si>
  <si>
    <t>Core Crown borrowings</t>
  </si>
  <si>
    <t>CHECKS OF FISCAL DATA</t>
  </si>
  <si>
    <t>Add back NZS Fund holdings of sovereign issued debt &amp; NZS Fund borrowings</t>
  </si>
  <si>
    <t>Net Core Crown debt (including NZS Fund)</t>
  </si>
  <si>
    <t>Add back NZS Fund financial assets</t>
  </si>
  <si>
    <r>
      <t xml:space="preserve">OBEGAL = Total Crown revenue (excl gains) </t>
    </r>
    <r>
      <rPr>
        <b/>
        <sz val="10"/>
        <rFont val="Arial"/>
        <family val="2"/>
      </rPr>
      <t>−</t>
    </r>
    <r>
      <rPr>
        <b/>
        <sz val="10"/>
        <rFont val="Times New Roman"/>
        <family val="1"/>
      </rPr>
      <t xml:space="preserve"> Total Crown expenses (excl losses)</t>
    </r>
  </si>
  <si>
    <t>Total Crown Operating Balance = OBEGAL + Net gains/(losses)</t>
  </si>
  <si>
    <t>Total Crown Net Worth = Total Crown assets − Total Crown liabilities</t>
  </si>
  <si>
    <t>Total Crown Gross Debt = Settlement deposits with the RB + Other borrowings</t>
  </si>
  <si>
    <t>Tot Cr Gross Debt = Sovereign guaranteed + Non-sovereign guaranteed borrowings</t>
  </si>
  <si>
    <t>Core Crown investment revenue</t>
  </si>
  <si>
    <t>Core Crown other revenue</t>
  </si>
  <si>
    <t>Total Core Crown expenses (excluding losses)</t>
  </si>
  <si>
    <t>Total Core Crown revenue (excluding gains)</t>
  </si>
  <si>
    <t>Core Crown gains/(losses)</t>
  </si>
  <si>
    <t>Less Core Crown financial assets (excl. receivables &amp; supranational organisations' equity)</t>
  </si>
  <si>
    <t>Core Cr Op. Bal = CC revenue (excl gains) − CC expenses (excl losses) + Net gains/(loss)</t>
  </si>
  <si>
    <t>Tax Revenue from Note = Tax Revenue in Statement of Financial Performance</t>
  </si>
  <si>
    <t>NOTE: Revenue collected through the Crown's sovereign power</t>
  </si>
  <si>
    <t>NOTE: Social assistance and official development assistance</t>
  </si>
  <si>
    <t>DATA FROM MINISTRY OF SOCIAL DEVELOPMENT</t>
  </si>
  <si>
    <t>Total Crown Social security &amp; welfare = CC + CE - elim for Social security &amp; welfare</t>
  </si>
  <si>
    <t>Amount borrowed in current year</t>
  </si>
  <si>
    <t>Fair value write down on new borrowings</t>
  </si>
  <si>
    <t>Repayments made during the year</t>
  </si>
  <si>
    <t>Interest unwind</t>
  </si>
  <si>
    <t>Impairment</t>
  </si>
  <si>
    <t>Other movements</t>
  </si>
  <si>
    <t>NOTE: Financial assets</t>
  </si>
  <si>
    <t>Reserve Bank and NZ DMO</t>
  </si>
  <si>
    <t>Financial assets by portfolio (net of any cross-holdings)</t>
  </si>
  <si>
    <t>NZ Superannuation Fund</t>
  </si>
  <si>
    <t>Other Core Crown</t>
  </si>
  <si>
    <t>Other Crown entities</t>
  </si>
  <si>
    <t>State-owned enterprises</t>
  </si>
  <si>
    <t>Uneliminated financial asset portfolio information by entity</t>
  </si>
  <si>
    <r>
      <t>plus</t>
    </r>
    <r>
      <rPr>
        <sz val="10"/>
        <rFont val="Times New Roman"/>
        <family val="1"/>
      </rPr>
      <t xml:space="preserve"> Amount borrowed in current year</t>
    </r>
  </si>
  <si>
    <r>
      <t>less</t>
    </r>
    <r>
      <rPr>
        <sz val="10"/>
        <rFont val="Times New Roman"/>
        <family val="1"/>
      </rPr>
      <t xml:space="preserve"> Fair value write down on new borrowings</t>
    </r>
  </si>
  <si>
    <r>
      <t>less</t>
    </r>
    <r>
      <rPr>
        <sz val="10"/>
        <rFont val="Times New Roman"/>
        <family val="1"/>
      </rPr>
      <t xml:space="preserve"> Repayments made during the year</t>
    </r>
  </si>
  <si>
    <r>
      <t>less</t>
    </r>
    <r>
      <rPr>
        <sz val="10"/>
        <rFont val="Times New Roman"/>
        <family val="1"/>
      </rPr>
      <t xml:space="preserve"> Impairment (includes Other movements)</t>
    </r>
  </si>
  <si>
    <t>Core Crown receivables</t>
  </si>
  <si>
    <t>Core Crown other financial assets</t>
  </si>
  <si>
    <t>Core Crown equity accounted investments</t>
  </si>
  <si>
    <t>CE property, plant and equipment</t>
  </si>
  <si>
    <t>SOE property, plant and equipment</t>
  </si>
  <si>
    <t>Total Crown Property, plant &amp; equip = Core Crown + CE + SOE in Statement of Segments</t>
  </si>
  <si>
    <t>Core Crown investment in CEs, SOEs and TEIs</t>
  </si>
  <si>
    <t>Total Crown receivables</t>
  </si>
  <si>
    <t>New Zealand Superannuation Fund results before elimination</t>
  </si>
  <si>
    <t>Opening net worth</t>
  </si>
  <si>
    <t>Gross contribution from the Crown</t>
  </si>
  <si>
    <t>Revenue (including interest and dividends)</t>
  </si>
  <si>
    <t>Other gains and losses</t>
  </si>
  <si>
    <t>Tax</t>
  </si>
  <si>
    <r>
      <t>plus</t>
    </r>
    <r>
      <rPr>
        <sz val="10"/>
        <rFont val="Times New Roman"/>
        <family val="1"/>
      </rPr>
      <t xml:space="preserve"> Gross contribution from the Crown</t>
    </r>
  </si>
  <si>
    <r>
      <t>plus</t>
    </r>
    <r>
      <rPr>
        <sz val="10"/>
        <rFont val="Times New Roman"/>
        <family val="1"/>
      </rPr>
      <t xml:space="preserve"> Revenue, including interest &amp; dividends</t>
    </r>
  </si>
  <si>
    <r>
      <t>plus</t>
    </r>
    <r>
      <rPr>
        <sz val="10"/>
        <rFont val="Times New Roman"/>
        <family val="1"/>
      </rPr>
      <t xml:space="preserve"> Other gains and losses</t>
    </r>
  </si>
  <si>
    <t>Debt</t>
  </si>
  <si>
    <t>Defined benefit retirement plan liabilities (GSF)</t>
  </si>
  <si>
    <t>Issued currency</t>
  </si>
  <si>
    <t>Core Crown non-debt liabilities excluding issued currency and GSF liability</t>
  </si>
  <si>
    <r>
      <t>plus</t>
    </r>
    <r>
      <rPr>
        <sz val="10"/>
        <rFont val="Times New Roman"/>
        <family val="1"/>
      </rPr>
      <t xml:space="preserve"> Insurance liabilities (ACC)</t>
    </r>
  </si>
  <si>
    <t>RB SETTLEMENT CASH EXCLUDED FROM GSID</t>
  </si>
  <si>
    <t>RB settlement cash is a form of debt outside the control of fiscal policy so is "looked through" in the debt constraint indicator.</t>
  </si>
  <si>
    <r>
      <t>plus</t>
    </r>
    <r>
      <rPr>
        <sz val="10"/>
        <rFont val="Times New Roman"/>
        <family val="1"/>
      </rPr>
      <t xml:space="preserve"> Non-Core Crown payables, deferred revenue and provisions</t>
    </r>
  </si>
  <si>
    <t>Reserve Bank &amp; DMO holdings</t>
  </si>
  <si>
    <t>2022/23</t>
  </si>
  <si>
    <t>Core Crown marketable securities, derivatives in gain and share investments</t>
  </si>
  <si>
    <t>NZ Superannuation Fund portfolio (excluding cross-holdings of Govt stock)</t>
  </si>
  <si>
    <r>
      <t>plus</t>
    </r>
    <r>
      <rPr>
        <sz val="10"/>
        <rFont val="Times New Roman"/>
        <family val="1"/>
      </rPr>
      <t xml:space="preserve"> ACC portfolio (excluding cross-holdings of Govt stock)</t>
    </r>
  </si>
  <si>
    <r>
      <t>plus</t>
    </r>
    <r>
      <rPr>
        <sz val="10"/>
        <rFont val="Times New Roman"/>
        <family val="1"/>
      </rPr>
      <t xml:space="preserve"> EQC portfolio (excluding cross-holdings of Govt stock)</t>
    </r>
  </si>
  <si>
    <t>Total Crown marketable securities, derivatives in gain and share investments</t>
  </si>
  <si>
    <t>Total Crown OBEGAL</t>
  </si>
  <si>
    <t>Core Crown Net Worth = Core Crown assets − Core Crown liabilities</t>
  </si>
  <si>
    <t>Revenue (excluding gains)</t>
  </si>
  <si>
    <t>Expenses (excluding losses)</t>
  </si>
  <si>
    <t>Total Gains/(Losses)</t>
  </si>
  <si>
    <t>OBEGAL (Operating Balance before Gains and Losses)</t>
  </si>
  <si>
    <t>Revenue (excluding gains) to GDP (Total Crown)</t>
  </si>
  <si>
    <t>Expenses (excluding losses) to GDP (Total Crown)</t>
  </si>
  <si>
    <t>Expenses (excluding losses) without finance costs to GDP (Total Crown)</t>
  </si>
  <si>
    <t>Expenses (excluding losses) without finance costs</t>
  </si>
  <si>
    <t>OBEGAL (Operating Balance before Gains and Losses) to GDP (Total Crown)</t>
  </si>
  <si>
    <t>Revenue (excluding gains) to GDP (Core Crown)</t>
  </si>
  <si>
    <t>Expenses (excluding losses) to GDP (Core Crown)</t>
  </si>
  <si>
    <t>Expenses (excluding losses) without finance costs to GDP (Core Crown)</t>
  </si>
  <si>
    <t>Tax on New Zealand Superannuation</t>
  </si>
  <si>
    <t>Corporate tax</t>
  </si>
  <si>
    <t>Sales of goods and services</t>
  </si>
  <si>
    <t>Other revenue</t>
  </si>
  <si>
    <t>Social security and welfare</t>
  </si>
  <si>
    <t>ACC payments</t>
  </si>
  <si>
    <t>GSF pension expenses</t>
  </si>
  <si>
    <t>Goods and services tax (GST)</t>
  </si>
  <si>
    <t>Core Crown tax revenue</t>
  </si>
  <si>
    <t>ACC expenses excluding movements in liability and payments to claimants</t>
  </si>
  <si>
    <t>Total Crown investment income</t>
  </si>
  <si>
    <t>DATA FROM FISCAL (NOT PUBLISHED)</t>
  </si>
  <si>
    <t>PREFU 2008 forecasts assembled by Treasury</t>
  </si>
  <si>
    <t>PREFU 2008 Treasury forecasts</t>
  </si>
  <si>
    <t>PREFU 2008 forecasts from the Ministry of Social Development</t>
  </si>
  <si>
    <t>Track based on PREFU 2008 nominal GDP and net (after-tax) NZS expenditure projections by Treasury.</t>
  </si>
  <si>
    <t>PREFU 2008 projection from the Government Actuary</t>
  </si>
  <si>
    <t>PREFU 2008 forecasts and projections by Treasury</t>
  </si>
  <si>
    <t>2008/09 to 2012/13 inclusive</t>
  </si>
  <si>
    <t>Values below are for initial projected fiscal year, 2013/14.</t>
  </si>
  <si>
    <t xml:space="preserve">international climate change agreements beyond 2012/13. This is due to uncertainty around the size </t>
  </si>
  <si>
    <t>the phase out commencing in 2019. Projections, from 2013/14, assume a carbon price of NZ $25/tonne.</t>
  </si>
  <si>
    <t>Write no. of years since 2005/06 for last historical fiscal year, e.g. 2 for 2007/08</t>
  </si>
  <si>
    <t>Government Superannuation Fund (GSF) 2008 PREFU tracks</t>
  </si>
  <si>
    <t>KiwiBank mortgages (out of advances))</t>
  </si>
  <si>
    <t>Net position</t>
  </si>
  <si>
    <t>Core Crown advances other than Student Loans (non RB and DMO)</t>
  </si>
  <si>
    <t xml:space="preserve">NZS Fund cash </t>
  </si>
  <si>
    <t>NZSF cash holdings</t>
  </si>
  <si>
    <t>DMO and RBNZ and residual cash holdings</t>
  </si>
  <si>
    <t xml:space="preserve">RB and DMO and residual cash and cash equivalents </t>
  </si>
  <si>
    <t>Reserve Bank settlement cash in $billion (incl. KiwiBank impact)</t>
  </si>
  <si>
    <t>Settlement cash holdings of KiwiBank</t>
  </si>
  <si>
    <t>Additions to tax revenue via corporate tax</t>
  </si>
  <si>
    <t>Additions to tax revenue via source deductions</t>
  </si>
  <si>
    <t>Fiscal RR addition to revenue via source deductions</t>
  </si>
  <si>
    <t>Fiscal RR addition to revenue via corporate tax</t>
  </si>
  <si>
    <t>TAX TO NOMINAL GDP RATIOS</t>
  </si>
  <si>
    <t>If set tax-to-GDP ratios are desired in projections, use Yes. Any other choice simply uses end-of-forecast ratios.</t>
  </si>
  <si>
    <t>Use targeted source deductions-to-GDP ratio in projections?</t>
  </si>
  <si>
    <t>Use targeted corporate tax-to-GDP ratio in projections?</t>
  </si>
  <si>
    <t>Use targeted other tax-to-GDP ratio in projections?</t>
  </si>
  <si>
    <t>If set tax-to-GDP ratios are selected, choose an increment to reach these from end-of-forecast values. Also choose ratios for the</t>
  </si>
  <si>
    <t>three tax types in the model. Note for source deductions that, if fiscal drag is selected above, the tax-to-GDP ratio will still grow.</t>
  </si>
  <si>
    <t>Adjustment rate as % of GDP for all tax types</t>
  </si>
  <si>
    <t>Target % of Nominal GDP for source deductions</t>
  </si>
  <si>
    <t>Target % of Nominal GDP for corporate taxes</t>
  </si>
  <si>
    <t>Target % of Nominal GDP for other taxes</t>
  </si>
  <si>
    <t>Up to, and inclusive of, 2007/08</t>
  </si>
  <si>
    <t>The ETS expense projection is based on a reduction in the free allocation of carbon credits to zero by 2030, with</t>
  </si>
  <si>
    <t>$1.694 billion (equivalent to approx. $1.9 billion when demographic growth from model added to expenditure).</t>
  </si>
  <si>
    <t>$6.355 billion held constant in projection period.</t>
  </si>
  <si>
    <t>THE FISCAL STRATEGY MODEL (FSM) - PRE-ELECTION ECONOMIC &amp; FISCAL UPDATE 2008 VERSION</t>
  </si>
  <si>
    <t>Pre-Election Economic and Fiscal Update (PREFU) 2008 data and forecasts</t>
  </si>
  <si>
    <t>$0 surplus financial assets available at end of forecast period</t>
  </si>
  <si>
    <t>exist beyond the end of the forecast period. The cost of free allocation of carbon credits to some participants is reflected in the expense</t>
  </si>
  <si>
    <t>track. As we do not include any estimate of a future post-Kyoto obligation, to prevent an unrealistic build up of surplus carbon credits,</t>
  </si>
  <si>
    <t>Tax Projection Assumptions</t>
  </si>
  <si>
    <t>Fiscal Drag Assumption</t>
  </si>
  <si>
    <t xml:space="preserve">of tax paid by farmers versus non-farming businesses. The effective tax as a fraction of income paid by farmers </t>
  </si>
  <si>
    <t>is generally lower than that from non-farming businesses. The relative contribution to</t>
  </si>
  <si>
    <t>tax from farmers is projected to fall in line with terms of trade reduction. As a result, the overall corporate tax-to-GDP</t>
  </si>
  <si>
    <t>Tax to GDP settings</t>
  </si>
  <si>
    <t>Corporate tax in the PREFU model is increased as % of GDP to reflect an assumed change in the share</t>
  </si>
  <si>
    <t>ratio is projected to rise.</t>
  </si>
  <si>
    <t>The projection period tax-to-GDP ratio can be set to be consistent with modelling assumptions and judgements.</t>
  </si>
  <si>
    <t xml:space="preserve">a policy of full revenue recycling is assumed. This is modelled by setting the revenue track equal to the estimated expense track.  </t>
  </si>
  <si>
    <t xml:space="preserve">Therefore there is no operating balance or debt impact of the ETS in the 2008 PREFU FSM. This is consistent with the treatment </t>
  </si>
  <si>
    <t>of the ETS in the 2008 Budget FSM.</t>
  </si>
  <si>
    <t xml:space="preserve">Projected population of NZ by age and gender, 2006 (base) - 2061, Series 5, from Statistics New Zealand. </t>
  </si>
  <si>
    <t>Further details of projection assumptions can be found in the 2008 Fiscal Strategy Report</t>
  </si>
  <si>
    <t>http://www.treasury.govt.nz/budget/2008/fsr/08.htm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</si>
</sst>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#,##0.0"/>
    <numFmt numFmtId="168" formatCode="0.0000"/>
    <numFmt numFmtId="169" formatCode="#,##0.000"/>
    <numFmt numFmtId="170" formatCode="#,##0.00000"/>
    <numFmt numFmtId="171" formatCode="&quot;$&quot;#,##0.00"/>
    <numFmt numFmtId="172" formatCode="&quot;$&quot;#,##0.00_);\(&quot;$&quot;#,##0.00\)"/>
    <numFmt numFmtId="173" formatCode="#,##0_);\(#,##0\);\-\ \ "/>
    <numFmt numFmtId="174" formatCode="#,##0.0_);\(#,##0.0\);\-\ \ "/>
    <numFmt numFmtId="175" formatCode="#,##0.00_);\(#,##0.00\);\-\ \ "/>
    <numFmt numFmtId="176" formatCode="#,##0.000_);\(#,##0.000\);\-\ \ "/>
    <numFmt numFmtId="177" formatCode="_(* #,##0.00_);_(* \(#,##0.00\);_(* &quot;-&quot;??_);_(@_)"/>
    <numFmt numFmtId="178" formatCode="_(* #,##0_);_(* \(#,##0\);_(* &quot;-&quot;??_);_(@_)"/>
    <numFmt numFmtId="179" formatCode="0.0000000000000000%"/>
  </numFmts>
  <fonts count="6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MS Sans Serif"/>
      <family val="2"/>
    </font>
    <font>
      <b/>
      <sz val="10"/>
      <color indexed="20"/>
      <name val="MS Sans Serif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b/>
      <sz val="20"/>
      <name val="Arial"/>
      <family val="2"/>
    </font>
    <font>
      <sz val="20"/>
      <name val="Impact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24" borderId="7" xfId="63" applyNumberFormat="1" applyFont="1" applyFill="1" applyBorder="1" applyAlignment="1" quotePrefix="1">
      <alignment/>
    </xf>
    <xf numFmtId="165" fontId="5" fillId="10" borderId="7" xfId="63" applyNumberFormat="1" applyFont="1" applyFill="1" applyBorder="1" applyAlignment="1" quotePrefix="1">
      <alignment/>
    </xf>
    <xf numFmtId="165" fontId="4" fillId="25" borderId="7" xfId="63" applyNumberFormat="1" applyFont="1" applyFill="1" applyBorder="1" applyAlignment="1" quotePrefix="1">
      <alignment/>
    </xf>
    <xf numFmtId="49" fontId="3" fillId="24" borderId="7" xfId="63" applyNumberFormat="1" applyFont="1" applyFill="1" applyBorder="1" applyAlignment="1">
      <alignment horizontal="center"/>
    </xf>
    <xf numFmtId="49" fontId="6" fillId="10" borderId="7" xfId="63" applyNumberFormat="1" applyFont="1" applyFill="1" applyBorder="1" applyAlignment="1">
      <alignment horizontal="center"/>
    </xf>
    <xf numFmtId="49" fontId="3" fillId="25" borderId="7" xfId="63" applyNumberFormat="1" applyFont="1" applyFill="1" applyBorder="1" applyAlignment="1">
      <alignment horizontal="center"/>
    </xf>
    <xf numFmtId="164" fontId="4" fillId="24" borderId="7" xfId="63" applyNumberFormat="1" applyFont="1" applyFill="1" applyBorder="1" applyAlignment="1" quotePrefix="1">
      <alignment/>
    </xf>
    <xf numFmtId="164" fontId="5" fillId="10" borderId="7" xfId="0" applyNumberFormat="1" applyFont="1" applyFill="1" applyBorder="1" applyAlignment="1">
      <alignment/>
    </xf>
    <xf numFmtId="164" fontId="4" fillId="25" borderId="7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0" fillId="25" borderId="0" xfId="0" applyFill="1" applyAlignment="1">
      <alignment/>
    </xf>
    <xf numFmtId="164" fontId="0" fillId="25" borderId="0" xfId="0" applyNumberFormat="1" applyFill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49" fontId="10" fillId="4" borderId="0" xfId="0" applyNumberFormat="1" applyFont="1" applyFill="1" applyAlignment="1">
      <alignment horizontal="center"/>
    </xf>
    <xf numFmtId="0" fontId="13" fillId="4" borderId="0" xfId="0" applyFont="1" applyFill="1" applyBorder="1" applyAlignment="1">
      <alignment/>
    </xf>
    <xf numFmtId="0" fontId="1" fillId="25" borderId="0" xfId="0" applyFont="1" applyFill="1" applyAlignment="1">
      <alignment/>
    </xf>
    <xf numFmtId="49" fontId="10" fillId="25" borderId="0" xfId="0" applyNumberFormat="1" applyFont="1" applyFill="1" applyAlignment="1">
      <alignment horizontal="center"/>
    </xf>
    <xf numFmtId="0" fontId="13" fillId="25" borderId="0" xfId="0" applyFont="1" applyFill="1" applyBorder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49" fontId="10" fillId="22" borderId="0" xfId="0" applyNumberFormat="1" applyFont="1" applyFill="1" applyAlignment="1">
      <alignment horizontal="center"/>
    </xf>
    <xf numFmtId="0" fontId="14" fillId="4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49" fontId="7" fillId="22" borderId="0" xfId="0" applyNumberFormat="1" applyFont="1" applyFill="1" applyBorder="1" applyAlignment="1">
      <alignment horizontal="left" indent="2"/>
    </xf>
    <xf numFmtId="167" fontId="0" fillId="22" borderId="0" xfId="0" applyNumberFormat="1" applyFill="1" applyBorder="1" applyAlignment="1">
      <alignment horizontal="right"/>
    </xf>
    <xf numFmtId="49" fontId="7" fillId="22" borderId="0" xfId="0" applyNumberFormat="1" applyFont="1" applyFill="1" applyBorder="1" applyAlignment="1">
      <alignment horizontal="left"/>
    </xf>
    <xf numFmtId="49" fontId="15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0" fontId="15" fillId="4" borderId="0" xfId="0" applyFont="1" applyFill="1" applyAlignment="1">
      <alignment/>
    </xf>
    <xf numFmtId="0" fontId="7" fillId="8" borderId="10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0" fontId="7" fillId="8" borderId="12" xfId="0" applyFont="1" applyFill="1" applyBorder="1" applyAlignment="1">
      <alignment horizontal="center"/>
    </xf>
    <xf numFmtId="164" fontId="4" fillId="8" borderId="11" xfId="60" applyNumberFormat="1" applyFont="1" applyFill="1" applyBorder="1" applyAlignment="1">
      <alignment horizontal="left"/>
      <protection/>
    </xf>
    <xf numFmtId="1" fontId="4" fillId="8" borderId="13" xfId="60" applyNumberFormat="1" applyFont="1" applyFill="1" applyBorder="1" applyAlignment="1">
      <alignment horizontal="left"/>
      <protection/>
    </xf>
    <xf numFmtId="0" fontId="0" fillId="8" borderId="0" xfId="0" applyFill="1" applyAlignment="1">
      <alignment/>
    </xf>
    <xf numFmtId="0" fontId="15" fillId="8" borderId="0" xfId="0" applyFont="1" applyFill="1" applyAlignment="1">
      <alignment/>
    </xf>
    <xf numFmtId="49" fontId="8" fillId="1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indent="2"/>
    </xf>
    <xf numFmtId="49" fontId="3" fillId="0" borderId="0" xfId="0" applyNumberFormat="1" applyFont="1" applyAlignment="1">
      <alignment horizontal="left" indent="2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indent="1"/>
    </xf>
    <xf numFmtId="49" fontId="2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8" fillId="24" borderId="7" xfId="0" applyFont="1" applyFill="1" applyBorder="1" applyAlignment="1">
      <alignment/>
    </xf>
    <xf numFmtId="0" fontId="8" fillId="10" borderId="7" xfId="0" applyFont="1" applyFill="1" applyBorder="1" applyAlignment="1">
      <alignment/>
    </xf>
    <xf numFmtId="0" fontId="8" fillId="25" borderId="14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5" borderId="0" xfId="0" applyFont="1" applyFill="1" applyAlignment="1">
      <alignment/>
    </xf>
    <xf numFmtId="49" fontId="10" fillId="5" borderId="0" xfId="0" applyNumberFormat="1" applyFont="1" applyFill="1" applyAlignment="1">
      <alignment horizontal="center"/>
    </xf>
    <xf numFmtId="49" fontId="7" fillId="5" borderId="0" xfId="0" applyNumberFormat="1" applyFont="1" applyFill="1" applyBorder="1" applyAlignment="1">
      <alignment horizontal="left" indent="2"/>
    </xf>
    <xf numFmtId="165" fontId="0" fillId="0" borderId="0" xfId="0" applyNumberForma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49" fontId="20" fillId="0" borderId="0" xfId="0" applyNumberFormat="1" applyFont="1" applyAlignment="1">
      <alignment horizontal="left" vertical="center" indent="1"/>
    </xf>
    <xf numFmtId="164" fontId="2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59" applyFont="1" applyFill="1">
      <alignment/>
      <protection/>
    </xf>
    <xf numFmtId="164" fontId="26" fillId="0" borderId="0" xfId="59" applyFont="1" applyFill="1">
      <alignment/>
      <protection/>
    </xf>
    <xf numFmtId="164" fontId="8" fillId="0" borderId="0" xfId="59" applyFont="1" applyFill="1">
      <alignment/>
      <protection/>
    </xf>
    <xf numFmtId="164" fontId="2" fillId="0" borderId="0" xfId="59" applyFont="1" applyFill="1" applyAlignment="1">
      <alignment horizontal="left" indent="1"/>
      <protection/>
    </xf>
    <xf numFmtId="164" fontId="2" fillId="0" borderId="0" xfId="59" applyFont="1" applyFill="1" applyAlignment="1">
      <alignment horizontal="left"/>
      <protection/>
    </xf>
    <xf numFmtId="164" fontId="26" fillId="0" borderId="0" xfId="59" applyNumberFormat="1" applyFont="1" applyFill="1" applyAlignment="1">
      <alignment horizontal="right"/>
      <protection/>
    </xf>
    <xf numFmtId="164" fontId="16" fillId="0" borderId="0" xfId="59" applyNumberFormat="1" applyFont="1" applyFill="1" applyAlignment="1">
      <alignment horizontal="right"/>
      <protection/>
    </xf>
    <xf numFmtId="164" fontId="8" fillId="0" borderId="0" xfId="59" applyFont="1" applyFill="1" applyAlignment="1">
      <alignment horizontal="left"/>
      <protection/>
    </xf>
    <xf numFmtId="49" fontId="8" fillId="0" borderId="0" xfId="0" applyNumberFormat="1" applyFont="1" applyAlignment="1">
      <alignment horizontal="center"/>
    </xf>
    <xf numFmtId="167" fontId="0" fillId="22" borderId="0" xfId="63" applyNumberFormat="1" applyFill="1" applyBorder="1" applyAlignment="1">
      <alignment horizontal="right"/>
    </xf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/>
    </xf>
    <xf numFmtId="0" fontId="7" fillId="4" borderId="18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49" fontId="7" fillId="4" borderId="19" xfId="0" applyNumberFormat="1" applyFont="1" applyFill="1" applyBorder="1" applyAlignment="1">
      <alignment horizontal="center"/>
    </xf>
    <xf numFmtId="49" fontId="7" fillId="4" borderId="20" xfId="0" applyNumberFormat="1" applyFont="1" applyFill="1" applyBorder="1" applyAlignment="1">
      <alignment horizontal="center"/>
    </xf>
    <xf numFmtId="3" fontId="0" fillId="4" borderId="0" xfId="0" applyNumberFormat="1" applyFill="1" applyAlignment="1">
      <alignment/>
    </xf>
    <xf numFmtId="3" fontId="7" fillId="4" borderId="21" xfId="0" applyNumberFormat="1" applyFont="1" applyFill="1" applyBorder="1" applyAlignment="1">
      <alignment horizontal="center"/>
    </xf>
    <xf numFmtId="49" fontId="28" fillId="4" borderId="0" xfId="0" applyNumberFormat="1" applyFont="1" applyFill="1" applyAlignment="1">
      <alignment horizontal="center"/>
    </xf>
    <xf numFmtId="164" fontId="27" fillId="4" borderId="0" xfId="0" applyNumberFormat="1" applyFont="1" applyFill="1" applyBorder="1" applyAlignment="1">
      <alignment horizontal="right"/>
    </xf>
    <xf numFmtId="49" fontId="17" fillId="4" borderId="0" xfId="0" applyNumberFormat="1" applyFont="1" applyFill="1" applyAlignment="1">
      <alignment horizontal="center"/>
    </xf>
    <xf numFmtId="49" fontId="29" fillId="25" borderId="0" xfId="0" applyNumberFormat="1" applyFont="1" applyFill="1" applyAlignment="1">
      <alignment horizontal="center"/>
    </xf>
    <xf numFmtId="164" fontId="30" fillId="25" borderId="0" xfId="0" applyNumberFormat="1" applyFont="1" applyFill="1" applyAlignment="1">
      <alignment/>
    </xf>
    <xf numFmtId="49" fontId="17" fillId="22" borderId="0" xfId="0" applyNumberFormat="1" applyFont="1" applyFill="1" applyAlignment="1">
      <alignment horizontal="center"/>
    </xf>
    <xf numFmtId="167" fontId="27" fillId="22" borderId="0" xfId="63" applyNumberFormat="1" applyFont="1" applyFill="1" applyBorder="1" applyAlignment="1">
      <alignment horizontal="right"/>
    </xf>
    <xf numFmtId="167" fontId="27" fillId="22" borderId="0" xfId="0" applyNumberFormat="1" applyFont="1" applyFill="1" applyBorder="1" applyAlignment="1">
      <alignment horizontal="right"/>
    </xf>
    <xf numFmtId="164" fontId="3" fillId="0" borderId="0" xfId="59" applyFont="1" applyFill="1" applyAlignment="1">
      <alignment horizontal="left" indent="1"/>
      <protection/>
    </xf>
    <xf numFmtId="164" fontId="27" fillId="0" borderId="0" xfId="0" applyNumberFormat="1" applyFont="1" applyAlignment="1">
      <alignment/>
    </xf>
    <xf numFmtId="165" fontId="2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7" fillId="5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164" fontId="25" fillId="0" borderId="0" xfId="0" applyNumberFormat="1" applyFont="1" applyBorder="1" applyAlignment="1">
      <alignment/>
    </xf>
    <xf numFmtId="164" fontId="25" fillId="0" borderId="22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0" fillId="10" borderId="0" xfId="0" applyNumberFormat="1" applyFill="1" applyAlignment="1">
      <alignment/>
    </xf>
    <xf numFmtId="49" fontId="7" fillId="10" borderId="0" xfId="0" applyNumberFormat="1" applyFont="1" applyFill="1" applyBorder="1" applyAlignment="1">
      <alignment horizontal="left" indent="6"/>
    </xf>
    <xf numFmtId="49" fontId="0" fillId="10" borderId="0" xfId="0" applyNumberFormat="1" applyFill="1" applyBorder="1" applyAlignment="1">
      <alignment horizontal="left" indent="6"/>
    </xf>
    <xf numFmtId="164" fontId="2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164" fontId="27" fillId="0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26" borderId="0" xfId="0" applyFill="1" applyAlignment="1">
      <alignment/>
    </xf>
    <xf numFmtId="10" fontId="7" fillId="0" borderId="0" xfId="0" applyNumberFormat="1" applyFont="1" applyAlignment="1">
      <alignment/>
    </xf>
    <xf numFmtId="0" fontId="7" fillId="5" borderId="0" xfId="0" applyFont="1" applyFill="1" applyAlignment="1">
      <alignment/>
    </xf>
    <xf numFmtId="49" fontId="7" fillId="5" borderId="2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center"/>
    </xf>
    <xf numFmtId="3" fontId="7" fillId="5" borderId="21" xfId="0" applyNumberFormat="1" applyFont="1" applyFill="1" applyBorder="1" applyAlignment="1">
      <alignment horizontal="center"/>
    </xf>
    <xf numFmtId="0" fontId="4" fillId="8" borderId="11" xfId="60" applyNumberFormat="1" applyFont="1" applyFill="1" applyBorder="1" applyAlignment="1">
      <alignment horizontal="left"/>
      <protection/>
    </xf>
    <xf numFmtId="1" fontId="9" fillId="8" borderId="11" xfId="60" applyNumberFormat="1" applyFont="1" applyFill="1" applyBorder="1" applyAlignment="1">
      <alignment horizontal="left"/>
      <protection/>
    </xf>
    <xf numFmtId="0" fontId="7" fillId="8" borderId="23" xfId="0" applyFont="1" applyFill="1" applyBorder="1" applyAlignment="1">
      <alignment/>
    </xf>
    <xf numFmtId="0" fontId="7" fillId="8" borderId="24" xfId="0" applyFon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8" borderId="11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3" fontId="7" fillId="8" borderId="11" xfId="0" applyNumberFormat="1" applyFont="1" applyFill="1" applyBorder="1" applyAlignment="1">
      <alignment/>
    </xf>
    <xf numFmtId="165" fontId="0" fillId="8" borderId="11" xfId="6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5" fillId="0" borderId="0" xfId="0" applyNumberFormat="1" applyFont="1" applyFill="1" applyAlignment="1">
      <alignment/>
    </xf>
    <xf numFmtId="164" fontId="19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5" fontId="27" fillId="0" borderId="0" xfId="0" applyNumberFormat="1" applyFont="1" applyFill="1" applyAlignment="1">
      <alignment/>
    </xf>
    <xf numFmtId="164" fontId="27" fillId="4" borderId="0" xfId="0" applyNumberFormat="1" applyFont="1" applyFill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left"/>
    </xf>
    <xf numFmtId="49" fontId="28" fillId="0" borderId="0" xfId="0" applyNumberFormat="1" applyFont="1" applyFill="1" applyAlignment="1">
      <alignment horizontal="center"/>
    </xf>
    <xf numFmtId="164" fontId="26" fillId="4" borderId="7" xfId="59" applyNumberFormat="1" applyFont="1" applyFill="1" applyBorder="1" applyAlignment="1">
      <alignment/>
      <protection/>
    </xf>
    <xf numFmtId="164" fontId="33" fillId="27" borderId="25" xfId="59" applyNumberFormat="1" applyFont="1" applyFill="1" applyBorder="1" applyAlignment="1">
      <alignment/>
      <protection/>
    </xf>
    <xf numFmtId="164" fontId="26" fillId="0" borderId="0" xfId="59" applyFont="1">
      <alignment/>
      <protection/>
    </xf>
    <xf numFmtId="164" fontId="26" fillId="4" borderId="7" xfId="59" applyFont="1" applyFill="1" applyBorder="1" applyAlignment="1">
      <alignment horizontal="right"/>
      <protection/>
    </xf>
    <xf numFmtId="164" fontId="33" fillId="26" borderId="26" xfId="59" applyNumberFormat="1" applyFont="1" applyFill="1" applyBorder="1" applyAlignment="1">
      <alignment horizontal="center"/>
      <protection/>
    </xf>
    <xf numFmtId="2" fontId="26" fillId="11" borderId="7" xfId="59" applyNumberFormat="1" applyFont="1" applyFill="1" applyBorder="1" applyAlignment="1">
      <alignment/>
      <protection/>
    </xf>
    <xf numFmtId="164" fontId="26" fillId="0" borderId="0" xfId="59" applyNumberFormat="1" applyFont="1" applyFill="1" applyBorder="1" applyAlignment="1">
      <alignment/>
      <protection/>
    </xf>
    <xf numFmtId="10" fontId="26" fillId="8" borderId="7" xfId="59" applyNumberFormat="1" applyFont="1" applyFill="1" applyBorder="1" applyAlignment="1">
      <alignment horizontal="right"/>
      <protection/>
    </xf>
    <xf numFmtId="166" fontId="26" fillId="8" borderId="7" xfId="59" applyNumberFormat="1" applyFont="1" applyFill="1" applyBorder="1" applyAlignment="1">
      <alignment horizontal="right"/>
      <protection/>
    </xf>
    <xf numFmtId="165" fontId="26" fillId="0" borderId="0" xfId="59" applyNumberFormat="1" applyFont="1" applyAlignment="1">
      <alignment horizontal="left"/>
      <protection/>
    </xf>
    <xf numFmtId="164" fontId="33" fillId="27" borderId="27" xfId="59" applyNumberFormat="1" applyFont="1" applyFill="1" applyBorder="1" applyAlignment="1">
      <alignment/>
      <protection/>
    </xf>
    <xf numFmtId="164" fontId="33" fillId="27" borderId="26" xfId="59" applyNumberFormat="1" applyFont="1" applyFill="1" applyBorder="1" applyAlignment="1">
      <alignment/>
      <protection/>
    </xf>
    <xf numFmtId="164" fontId="26" fillId="0" borderId="7" xfId="59" applyFont="1" applyFill="1" applyBorder="1" applyAlignment="1">
      <alignment horizontal="right"/>
      <protection/>
    </xf>
    <xf numFmtId="164" fontId="13" fillId="0" borderId="0" xfId="63" applyNumberFormat="1" applyFont="1" applyAlignment="1">
      <alignment/>
    </xf>
    <xf numFmtId="165" fontId="27" fillId="0" borderId="0" xfId="63" applyNumberFormat="1" applyFont="1" applyAlignment="1">
      <alignment/>
    </xf>
    <xf numFmtId="165" fontId="25" fillId="0" borderId="0" xfId="63" applyNumberFormat="1" applyFont="1" applyAlignment="1">
      <alignment/>
    </xf>
    <xf numFmtId="165" fontId="24" fillId="0" borderId="0" xfId="63" applyNumberFormat="1" applyFont="1" applyAlignment="1">
      <alignment/>
    </xf>
    <xf numFmtId="0" fontId="3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164" fontId="24" fillId="0" borderId="0" xfId="0" applyNumberFormat="1" applyFont="1" applyFill="1" applyAlignment="1">
      <alignment/>
    </xf>
    <xf numFmtId="164" fontId="18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166" fontId="24" fillId="0" borderId="0" xfId="0" applyNumberFormat="1" applyFont="1" applyAlignment="1">
      <alignment/>
    </xf>
    <xf numFmtId="164" fontId="24" fillId="0" borderId="0" xfId="0" applyNumberFormat="1" applyFont="1" applyBorder="1" applyAlignment="1">
      <alignment/>
    </xf>
    <xf numFmtId="164" fontId="18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3" fontId="7" fillId="28" borderId="0" xfId="0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166" fontId="25" fillId="25" borderId="0" xfId="0" applyNumberFormat="1" applyFont="1" applyFill="1" applyAlignment="1">
      <alignment horizontal="center"/>
    </xf>
    <xf numFmtId="0" fontId="34" fillId="0" borderId="0" xfId="0" applyFont="1" applyAlignment="1">
      <alignment horizontal="left" indent="1"/>
    </xf>
    <xf numFmtId="49" fontId="13" fillId="0" borderId="0" xfId="0" applyNumberFormat="1" applyFont="1" applyAlignment="1">
      <alignment horizontal="center"/>
    </xf>
    <xf numFmtId="0" fontId="34" fillId="25" borderId="0" xfId="0" applyFont="1" applyFill="1" applyAlignment="1">
      <alignment horizontal="left" indent="1"/>
    </xf>
    <xf numFmtId="164" fontId="25" fillId="25" borderId="0" xfId="0" applyNumberFormat="1" applyFont="1" applyFill="1" applyAlignment="1">
      <alignment horizontal="center"/>
    </xf>
    <xf numFmtId="0" fontId="35" fillId="0" borderId="0" xfId="0" applyFont="1" applyAlignment="1">
      <alignment horizontal="left"/>
    </xf>
    <xf numFmtId="2" fontId="25" fillId="0" borderId="0" xfId="0" applyNumberFormat="1" applyFont="1" applyAlignment="1">
      <alignment/>
    </xf>
    <xf numFmtId="0" fontId="35" fillId="22" borderId="0" xfId="0" applyFont="1" applyFill="1" applyAlignment="1">
      <alignment horizontal="left"/>
    </xf>
    <xf numFmtId="1" fontId="25" fillId="22" borderId="0" xfId="0" applyNumberFormat="1" applyFont="1" applyFill="1" applyAlignment="1">
      <alignment/>
    </xf>
    <xf numFmtId="166" fontId="25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164" fontId="24" fillId="4" borderId="0" xfId="0" applyNumberFormat="1" applyFont="1" applyFill="1" applyAlignment="1">
      <alignment/>
    </xf>
    <xf numFmtId="164" fontId="0" fillId="4" borderId="0" xfId="0" applyNumberFormat="1" applyFill="1" applyAlignment="1">
      <alignment/>
    </xf>
    <xf numFmtId="169" fontId="7" fillId="10" borderId="0" xfId="0" applyNumberFormat="1" applyFont="1" applyFill="1" applyAlignment="1">
      <alignment/>
    </xf>
    <xf numFmtId="164" fontId="4" fillId="24" borderId="7" xfId="63" applyNumberFormat="1" applyFont="1" applyFill="1" applyBorder="1" applyAlignment="1">
      <alignment/>
    </xf>
    <xf numFmtId="164" fontId="4" fillId="10" borderId="7" xfId="63" applyNumberFormat="1" applyFont="1" applyFill="1" applyBorder="1" applyAlignment="1">
      <alignment/>
    </xf>
    <xf numFmtId="164" fontId="4" fillId="25" borderId="7" xfId="63" applyNumberFormat="1" applyFont="1" applyFill="1" applyBorder="1" applyAlignment="1">
      <alignment/>
    </xf>
    <xf numFmtId="49" fontId="17" fillId="25" borderId="0" xfId="0" applyNumberFormat="1" applyFont="1" applyFill="1" applyAlignment="1">
      <alignment horizontal="center"/>
    </xf>
    <xf numFmtId="164" fontId="27" fillId="25" borderId="0" xfId="0" applyNumberFormat="1" applyFont="1" applyFill="1" applyAlignment="1">
      <alignment/>
    </xf>
    <xf numFmtId="0" fontId="4" fillId="24" borderId="7" xfId="63" applyNumberFormat="1" applyFont="1" applyFill="1" applyBorder="1" applyAlignment="1">
      <alignment horizontal="center"/>
    </xf>
    <xf numFmtId="0" fontId="4" fillId="10" borderId="7" xfId="63" applyNumberFormat="1" applyFont="1" applyFill="1" applyBorder="1" applyAlignment="1">
      <alignment horizontal="center"/>
    </xf>
    <xf numFmtId="0" fontId="4" fillId="25" borderId="7" xfId="63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31" fillId="27" borderId="0" xfId="0" applyFont="1" applyFill="1" applyAlignment="1">
      <alignment/>
    </xf>
    <xf numFmtId="9" fontId="4" fillId="24" borderId="7" xfId="63" applyNumberFormat="1" applyFont="1" applyFill="1" applyBorder="1" applyAlignment="1" quotePrefix="1">
      <alignment/>
    </xf>
    <xf numFmtId="9" fontId="4" fillId="10" borderId="7" xfId="63" applyNumberFormat="1" applyFont="1" applyFill="1" applyBorder="1" applyAlignment="1" quotePrefix="1">
      <alignment/>
    </xf>
    <xf numFmtId="9" fontId="4" fillId="25" borderId="7" xfId="63" applyNumberFormat="1" applyFont="1" applyFill="1" applyBorder="1" applyAlignment="1" quotePrefix="1">
      <alignment/>
    </xf>
    <xf numFmtId="49" fontId="3" fillId="0" borderId="0" xfId="0" applyNumberFormat="1" applyFont="1" applyFill="1" applyBorder="1" applyAlignment="1">
      <alignment horizontal="left" indent="2"/>
    </xf>
    <xf numFmtId="9" fontId="5" fillId="10" borderId="7" xfId="63" applyNumberFormat="1" applyFont="1" applyFill="1" applyBorder="1" applyAlignment="1" quotePrefix="1">
      <alignment/>
    </xf>
    <xf numFmtId="0" fontId="1" fillId="26" borderId="0" xfId="0" applyFont="1" applyFill="1" applyBorder="1" applyAlignment="1">
      <alignment/>
    </xf>
    <xf numFmtId="0" fontId="8" fillId="27" borderId="0" xfId="0" applyFont="1" applyFill="1" applyAlignment="1">
      <alignment/>
    </xf>
    <xf numFmtId="0" fontId="11" fillId="26" borderId="0" xfId="0" applyFont="1" applyFill="1" applyAlignment="1">
      <alignment/>
    </xf>
    <xf numFmtId="0" fontId="0" fillId="26" borderId="0" xfId="0" applyFont="1" applyFill="1" applyAlignment="1">
      <alignment/>
    </xf>
    <xf numFmtId="49" fontId="32" fillId="0" borderId="0" xfId="0" applyNumberFormat="1" applyFont="1" applyFill="1" applyAlignment="1">
      <alignment horizontal="left"/>
    </xf>
    <xf numFmtId="49" fontId="20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left" indent="1"/>
    </xf>
    <xf numFmtId="9" fontId="27" fillId="0" borderId="0" xfId="63" applyFont="1" applyAlignment="1">
      <alignment/>
    </xf>
    <xf numFmtId="164" fontId="24" fillId="0" borderId="0" xfId="0" applyNumberFormat="1" applyFont="1" applyFill="1" applyBorder="1" applyAlignment="1">
      <alignment/>
    </xf>
    <xf numFmtId="49" fontId="37" fillId="0" borderId="0" xfId="0" applyNumberFormat="1" applyFont="1" applyFill="1" applyAlignment="1">
      <alignment horizontal="left"/>
    </xf>
    <xf numFmtId="0" fontId="24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49" fontId="3" fillId="0" borderId="0" xfId="59" applyNumberFormat="1" applyFont="1" applyFill="1" applyAlignment="1">
      <alignment horizontal="left" indent="1"/>
      <protection/>
    </xf>
    <xf numFmtId="49" fontId="21" fillId="0" borderId="0" xfId="59" applyNumberFormat="1" applyFont="1" applyFill="1" applyAlignment="1">
      <alignment horizontal="left" indent="1"/>
      <protection/>
    </xf>
    <xf numFmtId="49" fontId="3" fillId="0" borderId="0" xfId="63" applyNumberFormat="1" applyFont="1" applyFill="1" applyAlignment="1">
      <alignment horizontal="left" indent="2"/>
    </xf>
    <xf numFmtId="0" fontId="19" fillId="0" borderId="0" xfId="0" applyNumberFormat="1" applyFont="1" applyAlignment="1">
      <alignment horizontal="center"/>
    </xf>
    <xf numFmtId="1" fontId="13" fillId="10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49" fontId="15" fillId="5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 indent="1"/>
    </xf>
    <xf numFmtId="164" fontId="3" fillId="0" borderId="0" xfId="59" applyFill="1" applyAlignment="1">
      <alignment horizontal="left" indent="1"/>
      <protection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7" fillId="0" borderId="0" xfId="0" applyNumberFormat="1" applyFont="1" applyAlignment="1">
      <alignment horizontal="center"/>
    </xf>
    <xf numFmtId="164" fontId="27" fillId="0" borderId="22" xfId="0" applyNumberFormat="1" applyFont="1" applyBorder="1" applyAlignment="1">
      <alignment/>
    </xf>
    <xf numFmtId="164" fontId="27" fillId="0" borderId="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164" fontId="19" fillId="0" borderId="0" xfId="63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66" fontId="27" fillId="0" borderId="0" xfId="0" applyNumberFormat="1" applyFont="1" applyAlignment="1">
      <alignment/>
    </xf>
    <xf numFmtId="164" fontId="16" fillId="4" borderId="7" xfId="59" applyFont="1" applyFill="1" applyBorder="1" applyAlignment="1">
      <alignment/>
      <protection/>
    </xf>
    <xf numFmtId="164" fontId="38" fillId="27" borderId="27" xfId="59" applyNumberFormat="1" applyFont="1" applyFill="1" applyBorder="1" applyAlignment="1">
      <alignment/>
      <protection/>
    </xf>
    <xf numFmtId="164" fontId="16" fillId="4" borderId="7" xfId="59" applyNumberFormat="1" applyFont="1" applyFill="1" applyBorder="1" applyAlignment="1">
      <alignment/>
      <protection/>
    </xf>
    <xf numFmtId="164" fontId="38" fillId="27" borderId="26" xfId="59" applyNumberFormat="1" applyFont="1" applyFill="1" applyBorder="1" applyAlignment="1">
      <alignment/>
      <protection/>
    </xf>
    <xf numFmtId="164" fontId="16" fillId="0" borderId="0" xfId="59" applyFont="1">
      <alignment/>
      <protection/>
    </xf>
    <xf numFmtId="164" fontId="16" fillId="4" borderId="25" xfId="59" applyFont="1" applyFill="1" applyBorder="1" applyAlignment="1">
      <alignment/>
      <protection/>
    </xf>
    <xf numFmtId="164" fontId="38" fillId="4" borderId="26" xfId="59" applyNumberFormat="1" applyFont="1" applyFill="1" applyBorder="1" applyAlignment="1">
      <alignment/>
      <protection/>
    </xf>
    <xf numFmtId="164" fontId="38" fillId="27" borderId="25" xfId="59" applyNumberFormat="1" applyFont="1" applyFill="1" applyBorder="1" applyAlignment="1">
      <alignment/>
      <protection/>
    </xf>
    <xf numFmtId="164" fontId="16" fillId="4" borderId="28" xfId="59" applyFont="1" applyFill="1" applyBorder="1" applyAlignment="1">
      <alignment/>
      <protection/>
    </xf>
    <xf numFmtId="164" fontId="16" fillId="4" borderId="29" xfId="59" applyFont="1" applyFill="1" applyBorder="1" applyAlignment="1">
      <alignment/>
      <protection/>
    </xf>
    <xf numFmtId="164" fontId="38" fillId="4" borderId="7" xfId="59" applyFont="1" applyFill="1" applyBorder="1" applyAlignment="1">
      <alignment/>
      <protection/>
    </xf>
    <xf numFmtId="164" fontId="16" fillId="4" borderId="7" xfId="59" applyFont="1" applyFill="1" applyBorder="1" applyAlignment="1">
      <alignment horizontal="right"/>
      <protection/>
    </xf>
    <xf numFmtId="164" fontId="16" fillId="4" borderId="25" xfId="59" applyFont="1" applyFill="1" applyBorder="1" applyAlignment="1">
      <alignment horizontal="right"/>
      <protection/>
    </xf>
    <xf numFmtId="164" fontId="16" fillId="0" borderId="14" xfId="59" applyFont="1" applyFill="1" applyBorder="1" applyAlignment="1">
      <alignment horizontal="left"/>
      <protection/>
    </xf>
    <xf numFmtId="164" fontId="38" fillId="26" borderId="26" xfId="59" applyNumberFormat="1" applyFont="1" applyFill="1" applyBorder="1" applyAlignment="1">
      <alignment horizontal="center"/>
      <protection/>
    </xf>
    <xf numFmtId="1" fontId="16" fillId="11" borderId="7" xfId="59" applyNumberFormat="1" applyFont="1" applyFill="1" applyBorder="1" applyAlignment="1">
      <alignment/>
      <protection/>
    </xf>
    <xf numFmtId="2" fontId="16" fillId="11" borderId="7" xfId="59" applyNumberFormat="1" applyFont="1" applyFill="1" applyBorder="1" applyAlignment="1">
      <alignment/>
      <protection/>
    </xf>
    <xf numFmtId="164" fontId="16" fillId="11" borderId="7" xfId="59" applyNumberFormat="1" applyFont="1" applyFill="1" applyBorder="1" applyAlignment="1">
      <alignment/>
      <protection/>
    </xf>
    <xf numFmtId="164" fontId="16" fillId="0" borderId="0" xfId="59" applyNumberFormat="1" applyFont="1" applyFill="1" applyBorder="1" applyAlignment="1">
      <alignment/>
      <protection/>
    </xf>
    <xf numFmtId="1" fontId="16" fillId="8" borderId="7" xfId="59" applyNumberFormat="1" applyFont="1" applyFill="1" applyBorder="1" applyAlignment="1">
      <alignment horizontal="right"/>
      <protection/>
    </xf>
    <xf numFmtId="166" fontId="16" fillId="8" borderId="7" xfId="59" applyNumberFormat="1" applyFont="1" applyFill="1" applyBorder="1" applyAlignment="1">
      <alignment horizontal="right"/>
      <protection/>
    </xf>
    <xf numFmtId="10" fontId="16" fillId="8" borderId="7" xfId="59" applyNumberFormat="1" applyFont="1" applyFill="1" applyBorder="1" applyAlignment="1">
      <alignment horizontal="right"/>
      <protection/>
    </xf>
    <xf numFmtId="2" fontId="16" fillId="8" borderId="7" xfId="59" applyNumberFormat="1" applyFont="1" applyFill="1" applyBorder="1" applyAlignment="1">
      <alignment horizontal="right"/>
      <protection/>
    </xf>
    <xf numFmtId="1" fontId="33" fillId="0" borderId="0" xfId="59" applyNumberFormat="1" applyFont="1" applyFill="1">
      <alignment/>
      <protection/>
    </xf>
    <xf numFmtId="1" fontId="38" fillId="0" borderId="0" xfId="59" applyNumberFormat="1" applyFont="1" applyFill="1">
      <alignment/>
      <protection/>
    </xf>
    <xf numFmtId="0" fontId="7" fillId="26" borderId="0" xfId="0" applyFont="1" applyFill="1" applyAlignment="1">
      <alignment/>
    </xf>
    <xf numFmtId="0" fontId="7" fillId="26" borderId="0" xfId="0" applyFont="1" applyFill="1" applyAlignment="1">
      <alignment horizontal="center"/>
    </xf>
    <xf numFmtId="164" fontId="0" fillId="26" borderId="0" xfId="0" applyNumberFormat="1" applyFill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1" fontId="27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8" fillId="8" borderId="0" xfId="0" applyFont="1" applyFill="1" applyAlignment="1">
      <alignment horizontal="left" indent="1"/>
    </xf>
    <xf numFmtId="0" fontId="39" fillId="8" borderId="0" xfId="0" applyFont="1" applyFill="1" applyAlignment="1">
      <alignment horizontal="left" indent="1"/>
    </xf>
    <xf numFmtId="0" fontId="8" fillId="7" borderId="0" xfId="0" applyFont="1" applyFill="1" applyAlignment="1">
      <alignment horizontal="left" indent="1"/>
    </xf>
    <xf numFmtId="0" fontId="7" fillId="7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0" fontId="40" fillId="8" borderId="0" xfId="0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164" fontId="27" fillId="0" borderId="0" xfId="63" applyNumberFormat="1" applyFont="1" applyAlignment="1">
      <alignment/>
    </xf>
    <xf numFmtId="16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horizontal="center"/>
    </xf>
    <xf numFmtId="164" fontId="24" fillId="0" borderId="22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25" fillId="4" borderId="0" xfId="0" applyNumberFormat="1" applyFont="1" applyFill="1" applyAlignment="1">
      <alignment/>
    </xf>
    <xf numFmtId="164" fontId="13" fillId="4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left" indent="1"/>
    </xf>
    <xf numFmtId="164" fontId="2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wrapText="1"/>
    </xf>
    <xf numFmtId="0" fontId="15" fillId="7" borderId="0" xfId="0" applyFont="1" applyFill="1" applyAlignment="1">
      <alignment horizontal="center"/>
    </xf>
    <xf numFmtId="3" fontId="7" fillId="7" borderId="0" xfId="0" applyNumberFormat="1" applyFont="1" applyFill="1" applyAlignment="1">
      <alignment horizontal="center"/>
    </xf>
    <xf numFmtId="3" fontId="18" fillId="7" borderId="0" xfId="0" applyNumberFormat="1" applyFont="1" applyFill="1" applyAlignment="1">
      <alignment horizontal="center"/>
    </xf>
    <xf numFmtId="0" fontId="15" fillId="28" borderId="0" xfId="0" applyFont="1" applyFill="1" applyAlignment="1">
      <alignment horizontal="center"/>
    </xf>
    <xf numFmtId="3" fontId="18" fillId="28" borderId="0" xfId="0" applyNumberFormat="1" applyFont="1" applyFill="1" applyAlignment="1">
      <alignment horizontal="center"/>
    </xf>
    <xf numFmtId="0" fontId="34" fillId="21" borderId="0" xfId="0" applyFont="1" applyFill="1" applyAlignment="1">
      <alignment horizontal="left" indent="1"/>
    </xf>
    <xf numFmtId="164" fontId="13" fillId="20" borderId="0" xfId="0" applyNumberFormat="1" applyFont="1" applyFill="1" applyAlignment="1">
      <alignment horizontal="center"/>
    </xf>
    <xf numFmtId="10" fontId="13" fillId="20" borderId="0" xfId="0" applyNumberFormat="1" applyFont="1" applyFill="1" applyAlignment="1">
      <alignment horizontal="center"/>
    </xf>
    <xf numFmtId="10" fontId="25" fillId="20" borderId="0" xfId="0" applyNumberFormat="1" applyFont="1" applyFill="1" applyAlignment="1">
      <alignment horizontal="center"/>
    </xf>
    <xf numFmtId="1" fontId="13" fillId="20" borderId="0" xfId="0" applyNumberFormat="1" applyFont="1" applyFill="1" applyAlignment="1">
      <alignment horizontal="center"/>
    </xf>
    <xf numFmtId="0" fontId="34" fillId="4" borderId="0" xfId="0" applyFont="1" applyFill="1" applyAlignment="1">
      <alignment horizontal="left" indent="1"/>
    </xf>
    <xf numFmtId="164" fontId="2" fillId="4" borderId="0" xfId="59" applyFont="1" applyFill="1" applyAlignment="1">
      <alignment horizontal="left"/>
      <protection/>
    </xf>
    <xf numFmtId="10" fontId="25" fillId="4" borderId="0" xfId="0" applyNumberFormat="1" applyFont="1" applyFill="1" applyAlignment="1">
      <alignment horizontal="center"/>
    </xf>
    <xf numFmtId="2" fontId="25" fillId="4" borderId="0" xfId="0" applyNumberFormat="1" applyFont="1" applyFill="1" applyAlignment="1">
      <alignment/>
    </xf>
    <xf numFmtId="2" fontId="25" fillId="4" borderId="0" xfId="0" applyNumberFormat="1" applyFont="1" applyFill="1" applyAlignment="1">
      <alignment horizontal="center"/>
    </xf>
    <xf numFmtId="0" fontId="0" fillId="0" borderId="0" xfId="58">
      <alignment/>
      <protection/>
    </xf>
    <xf numFmtId="0" fontId="0" fillId="0" borderId="0" xfId="57" applyFont="1">
      <alignment/>
      <protection/>
    </xf>
    <xf numFmtId="165" fontId="27" fillId="0" borderId="0" xfId="57" applyNumberFormat="1" applyFont="1" applyAlignment="1">
      <alignment horizontal="center"/>
      <protection/>
    </xf>
    <xf numFmtId="165" fontId="25" fillId="0" borderId="0" xfId="57" applyNumberFormat="1" applyFont="1" applyAlignment="1">
      <alignment horizontal="center"/>
      <protection/>
    </xf>
    <xf numFmtId="10" fontId="25" fillId="25" borderId="0" xfId="63" applyNumberFormat="1" applyFont="1" applyFill="1" applyAlignment="1">
      <alignment horizontal="center"/>
    </xf>
    <xf numFmtId="0" fontId="0" fillId="24" borderId="0" xfId="0" applyFill="1" applyAlignment="1">
      <alignment/>
    </xf>
    <xf numFmtId="168" fontId="26" fillId="8" borderId="7" xfId="59" applyNumberFormat="1" applyFont="1" applyFill="1" applyBorder="1" applyAlignment="1">
      <alignment horizontal="right"/>
      <protection/>
    </xf>
    <xf numFmtId="165" fontId="26" fillId="8" borderId="7" xfId="59" applyNumberFormat="1" applyFont="1" applyFill="1" applyBorder="1" applyAlignment="1">
      <alignment horizontal="right"/>
      <protection/>
    </xf>
    <xf numFmtId="1" fontId="27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4" fillId="3" borderId="0" xfId="0" applyFont="1" applyFill="1" applyBorder="1" applyAlignment="1">
      <alignment/>
    </xf>
    <xf numFmtId="49" fontId="10" fillId="3" borderId="0" xfId="0" applyNumberFormat="1" applyFont="1" applyFill="1" applyAlignment="1">
      <alignment horizontal="center"/>
    </xf>
    <xf numFmtId="49" fontId="17" fillId="3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left" indent="2"/>
    </xf>
    <xf numFmtId="167" fontId="0" fillId="3" borderId="0" xfId="0" applyNumberFormat="1" applyFill="1" applyBorder="1" applyAlignment="1">
      <alignment horizontal="right"/>
    </xf>
    <xf numFmtId="167" fontId="27" fillId="3" borderId="0" xfId="63" applyNumberFormat="1" applyFont="1" applyFill="1" applyBorder="1" applyAlignment="1">
      <alignment horizontal="right"/>
    </xf>
    <xf numFmtId="167" fontId="24" fillId="3" borderId="0" xfId="0" applyNumberFormat="1" applyFont="1" applyFill="1" applyBorder="1" applyAlignment="1">
      <alignment horizontal="right"/>
    </xf>
    <xf numFmtId="165" fontId="27" fillId="0" borderId="0" xfId="63" applyNumberFormat="1" applyFont="1" applyFill="1" applyAlignment="1">
      <alignment/>
    </xf>
    <xf numFmtId="165" fontId="24" fillId="0" borderId="0" xfId="63" applyNumberFormat="1" applyFont="1" applyFill="1" applyAlignment="1">
      <alignment/>
    </xf>
    <xf numFmtId="165" fontId="25" fillId="0" borderId="0" xfId="63" applyNumberFormat="1" applyFont="1" applyFill="1" applyAlignment="1">
      <alignment/>
    </xf>
    <xf numFmtId="49" fontId="3" fillId="0" borderId="0" xfId="59" applyNumberFormat="1" applyFont="1" applyFill="1" applyBorder="1" applyAlignment="1">
      <alignment horizontal="left" indent="1"/>
      <protection/>
    </xf>
    <xf numFmtId="0" fontId="1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49" fontId="10" fillId="24" borderId="0" xfId="0" applyNumberFormat="1" applyFont="1" applyFill="1" applyAlignment="1">
      <alignment horizontal="center"/>
    </xf>
    <xf numFmtId="49" fontId="7" fillId="24" borderId="0" xfId="0" applyNumberFormat="1" applyFont="1" applyFill="1" applyBorder="1" applyAlignment="1">
      <alignment horizontal="left" indent="2"/>
    </xf>
    <xf numFmtId="167" fontId="24" fillId="24" borderId="0" xfId="0" applyNumberFormat="1" applyFont="1" applyFill="1" applyBorder="1" applyAlignment="1">
      <alignment horizontal="right"/>
    </xf>
    <xf numFmtId="167" fontId="0" fillId="24" borderId="0" xfId="0" applyNumberFormat="1" applyFill="1" applyBorder="1" applyAlignment="1">
      <alignment horizontal="right"/>
    </xf>
    <xf numFmtId="167" fontId="27" fillId="24" borderId="0" xfId="63" applyNumberFormat="1" applyFont="1" applyFill="1" applyBorder="1" applyAlignment="1">
      <alignment horizontal="right"/>
    </xf>
    <xf numFmtId="164" fontId="24" fillId="24" borderId="0" xfId="0" applyNumberFormat="1" applyFont="1" applyFill="1" applyBorder="1" applyAlignment="1">
      <alignment horizontal="right"/>
    </xf>
    <xf numFmtId="164" fontId="0" fillId="24" borderId="0" xfId="0" applyNumberFormat="1" applyFill="1" applyBorder="1" applyAlignment="1">
      <alignment horizontal="right"/>
    </xf>
    <xf numFmtId="169" fontId="0" fillId="24" borderId="0" xfId="0" applyNumberFormat="1" applyFill="1" applyBorder="1" applyAlignment="1">
      <alignment horizontal="right"/>
    </xf>
    <xf numFmtId="164" fontId="0" fillId="0" borderId="0" xfId="58" applyNumberFormat="1">
      <alignment/>
      <protection/>
    </xf>
    <xf numFmtId="49" fontId="9" fillId="22" borderId="0" xfId="0" applyNumberFormat="1" applyFont="1" applyFill="1" applyAlignment="1">
      <alignment horizontal="center"/>
    </xf>
    <xf numFmtId="167" fontId="0" fillId="22" borderId="0" xfId="0" applyNumberFormat="1" applyFont="1" applyFill="1" applyBorder="1" applyAlignment="1">
      <alignment horizontal="right"/>
    </xf>
    <xf numFmtId="167" fontId="0" fillId="22" borderId="0" xfId="63" applyNumberFormat="1" applyFont="1" applyFill="1" applyBorder="1" applyAlignment="1">
      <alignment horizontal="right"/>
    </xf>
    <xf numFmtId="167" fontId="27" fillId="0" borderId="0" xfId="63" applyNumberFormat="1" applyFont="1" applyFill="1" applyBorder="1" applyAlignment="1">
      <alignment horizontal="right"/>
    </xf>
    <xf numFmtId="167" fontId="0" fillId="0" borderId="0" xfId="63" applyNumberFormat="1" applyFill="1" applyBorder="1" applyAlignment="1">
      <alignment horizontal="right"/>
    </xf>
    <xf numFmtId="4" fontId="0" fillId="22" borderId="0" xfId="63" applyNumberFormat="1" applyFill="1" applyBorder="1" applyAlignment="1">
      <alignment horizontal="right"/>
    </xf>
    <xf numFmtId="0" fontId="27" fillId="22" borderId="0" xfId="63" applyNumberFormat="1" applyFont="1" applyFill="1" applyBorder="1" applyAlignment="1">
      <alignment horizontal="right"/>
    </xf>
    <xf numFmtId="0" fontId="0" fillId="22" borderId="0" xfId="63" applyNumberFormat="1" applyFill="1" applyBorder="1" applyAlignment="1">
      <alignment horizontal="right"/>
    </xf>
    <xf numFmtId="169" fontId="27" fillId="25" borderId="0" xfId="0" applyNumberFormat="1" applyFont="1" applyFill="1" applyAlignment="1">
      <alignment/>
    </xf>
    <xf numFmtId="16" fontId="0" fillId="0" borderId="0" xfId="0" applyNumberFormat="1" applyFill="1" applyBorder="1" applyAlignment="1" quotePrefix="1">
      <alignment/>
    </xf>
    <xf numFmtId="3" fontId="27" fillId="22" borderId="0" xfId="63" applyNumberFormat="1" applyFont="1" applyFill="1" applyBorder="1" applyAlignment="1">
      <alignment horizontal="right"/>
    </xf>
    <xf numFmtId="167" fontId="0" fillId="22" borderId="0" xfId="63" applyNumberFormat="1" applyFont="1" applyFill="1" applyBorder="1" applyAlignment="1">
      <alignment horizontal="right"/>
    </xf>
    <xf numFmtId="167" fontId="0" fillId="22" borderId="0" xfId="0" applyNumberFormat="1" applyFont="1" applyFill="1" applyBorder="1" applyAlignment="1">
      <alignment horizontal="right"/>
    </xf>
    <xf numFmtId="164" fontId="26" fillId="11" borderId="7" xfId="59" applyFont="1" applyFill="1" applyBorder="1" applyAlignment="1">
      <alignment/>
      <protection/>
    </xf>
    <xf numFmtId="164" fontId="26" fillId="0" borderId="0" xfId="59" applyNumberFormat="1" applyFont="1">
      <alignment/>
      <protection/>
    </xf>
    <xf numFmtId="164" fontId="26" fillId="0" borderId="0" xfId="59" applyNumberFormat="1" applyFont="1" applyFill="1">
      <alignment/>
      <protection/>
    </xf>
    <xf numFmtId="164" fontId="33" fillId="0" borderId="14" xfId="59" applyNumberFormat="1" applyFont="1" applyFill="1" applyBorder="1" applyAlignment="1">
      <alignment horizontal="right"/>
      <protection/>
    </xf>
    <xf numFmtId="0" fontId="26" fillId="0" borderId="0" xfId="59" applyNumberFormat="1" applyFont="1" applyFill="1" applyAlignment="1">
      <alignment horizontal="right"/>
      <protection/>
    </xf>
    <xf numFmtId="0" fontId="25" fillId="0" borderId="0" xfId="63" applyNumberFormat="1" applyFont="1" applyAlignment="1">
      <alignment/>
    </xf>
    <xf numFmtId="3" fontId="26" fillId="11" borderId="7" xfId="59" applyNumberFormat="1" applyFont="1" applyFill="1" applyBorder="1" applyAlignment="1">
      <alignment/>
      <protection/>
    </xf>
    <xf numFmtId="164" fontId="26" fillId="0" borderId="0" xfId="59" applyFont="1" applyFill="1" applyAlignment="1">
      <alignment horizontal="right"/>
      <protection/>
    </xf>
    <xf numFmtId="164" fontId="26" fillId="0" borderId="0" xfId="59" applyFont="1" applyFill="1" applyBorder="1" applyAlignment="1">
      <alignment/>
      <protection/>
    </xf>
    <xf numFmtId="164" fontId="16" fillId="0" borderId="0" xfId="0" applyNumberFormat="1" applyFont="1" applyAlignment="1">
      <alignment/>
    </xf>
    <xf numFmtId="1" fontId="27" fillId="0" borderId="0" xfId="0" applyNumberFormat="1" applyFont="1" applyAlignment="1">
      <alignment horizontal="center"/>
    </xf>
    <xf numFmtId="165" fontId="5" fillId="10" borderId="7" xfId="63" applyNumberFormat="1" applyFont="1" applyFill="1" applyBorder="1" applyAlignment="1">
      <alignment/>
    </xf>
    <xf numFmtId="165" fontId="4" fillId="25" borderId="7" xfId="63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/>
    </xf>
    <xf numFmtId="10" fontId="27" fillId="0" borderId="0" xfId="63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65" fontId="27" fillId="0" borderId="0" xfId="63" applyNumberFormat="1" applyFont="1" applyFill="1" applyBorder="1" applyAlignment="1">
      <alignment/>
    </xf>
    <xf numFmtId="49" fontId="21" fillId="0" borderId="0" xfId="59" applyNumberFormat="1" applyFont="1" applyFill="1" applyBorder="1" applyAlignment="1">
      <alignment horizontal="left" indent="1"/>
      <protection/>
    </xf>
    <xf numFmtId="164" fontId="18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left" indent="1"/>
    </xf>
    <xf numFmtId="164" fontId="24" fillId="0" borderId="0" xfId="0" applyNumberFormat="1" applyFont="1" applyFill="1" applyBorder="1" applyAlignment="1">
      <alignment/>
    </xf>
    <xf numFmtId="164" fontId="18" fillId="0" borderId="0" xfId="0" applyNumberFormat="1" applyFont="1" applyBorder="1" applyAlignment="1">
      <alignment/>
    </xf>
    <xf numFmtId="49" fontId="33" fillId="0" borderId="0" xfId="0" applyNumberFormat="1" applyFont="1" applyFill="1" applyBorder="1" applyAlignment="1">
      <alignment horizontal="left"/>
    </xf>
    <xf numFmtId="164" fontId="19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49" fontId="3" fillId="0" borderId="0" xfId="63" applyNumberFormat="1" applyFont="1" applyFill="1" applyBorder="1" applyAlignment="1">
      <alignment horizontal="left" indent="2"/>
    </xf>
    <xf numFmtId="165" fontId="24" fillId="0" borderId="0" xfId="63" applyNumberFormat="1" applyFont="1" applyFill="1" applyBorder="1" applyAlignment="1">
      <alignment/>
    </xf>
    <xf numFmtId="165" fontId="25" fillId="0" borderId="0" xfId="63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0" fontId="60" fillId="0" borderId="0" xfId="63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166" fontId="24" fillId="0" borderId="0" xfId="0" applyNumberFormat="1" applyFont="1" applyFill="1" applyAlignment="1">
      <alignment/>
    </xf>
    <xf numFmtId="165" fontId="24" fillId="0" borderId="0" xfId="0" applyNumberFormat="1" applyFont="1" applyFill="1" applyAlignment="1">
      <alignment/>
    </xf>
    <xf numFmtId="165" fontId="25" fillId="0" borderId="0" xfId="63" applyNumberFormat="1" applyFont="1" applyBorder="1" applyAlignment="1">
      <alignment/>
    </xf>
    <xf numFmtId="49" fontId="37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center"/>
    </xf>
    <xf numFmtId="164" fontId="27" fillId="0" borderId="0" xfId="63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/>
    </xf>
    <xf numFmtId="164" fontId="13" fillId="0" borderId="0" xfId="63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4" fontId="19" fillId="0" borderId="0" xfId="63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1" fillId="24" borderId="0" xfId="0" applyFont="1" applyFill="1" applyAlignment="1">
      <alignment/>
    </xf>
    <xf numFmtId="166" fontId="4" fillId="24" borderId="7" xfId="63" applyNumberFormat="1" applyFont="1" applyFill="1" applyBorder="1" applyAlignment="1" quotePrefix="1">
      <alignment/>
    </xf>
    <xf numFmtId="166" fontId="4" fillId="10" borderId="7" xfId="63" applyNumberFormat="1" applyFont="1" applyFill="1" applyBorder="1" applyAlignment="1">
      <alignment/>
    </xf>
    <xf numFmtId="166" fontId="4" fillId="25" borderId="7" xfId="63" applyNumberFormat="1" applyFont="1" applyFill="1" applyBorder="1" applyAlignment="1" quotePrefix="1">
      <alignment/>
    </xf>
    <xf numFmtId="164" fontId="25" fillId="2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0" fillId="7" borderId="0" xfId="0" applyNumberFormat="1" applyFont="1" applyFill="1" applyBorder="1" applyAlignment="1">
      <alignment horizontal="left" indent="6"/>
    </xf>
    <xf numFmtId="49" fontId="0" fillId="7" borderId="0" xfId="0" applyNumberFormat="1" applyFill="1" applyBorder="1" applyAlignment="1">
      <alignment horizontal="left" indent="6"/>
    </xf>
    <xf numFmtId="3" fontId="0" fillId="7" borderId="0" xfId="0" applyNumberFormat="1" applyFill="1" applyAlignment="1">
      <alignment/>
    </xf>
    <xf numFmtId="165" fontId="0" fillId="7" borderId="0" xfId="63" applyNumberFormat="1" applyFill="1" applyAlignment="1">
      <alignment/>
    </xf>
    <xf numFmtId="0" fontId="0" fillId="7" borderId="0" xfId="0" applyFill="1" applyAlignment="1">
      <alignment/>
    </xf>
    <xf numFmtId="49" fontId="7" fillId="22" borderId="0" xfId="0" applyNumberFormat="1" applyFont="1" applyFill="1" applyBorder="1" applyAlignment="1">
      <alignment horizontal="left" indent="6"/>
    </xf>
    <xf numFmtId="49" fontId="0" fillId="22" borderId="0" xfId="0" applyNumberFormat="1" applyFill="1" applyBorder="1" applyAlignment="1">
      <alignment horizontal="left" indent="6"/>
    </xf>
    <xf numFmtId="169" fontId="0" fillId="22" borderId="0" xfId="0" applyNumberFormat="1" applyFill="1" applyAlignment="1">
      <alignment/>
    </xf>
    <xf numFmtId="169" fontId="7" fillId="22" borderId="0" xfId="0" applyNumberFormat="1" applyFont="1" applyFill="1" applyAlignment="1">
      <alignment/>
    </xf>
    <xf numFmtId="49" fontId="0" fillId="22" borderId="0" xfId="0" applyNumberFormat="1" applyFill="1" applyBorder="1" applyAlignment="1">
      <alignment horizontal="left" indent="2"/>
    </xf>
    <xf numFmtId="3" fontId="0" fillId="22" borderId="0" xfId="0" applyNumberFormat="1" applyFill="1" applyBorder="1" applyAlignment="1">
      <alignment/>
    </xf>
    <xf numFmtId="167" fontId="0" fillId="22" borderId="0" xfId="0" applyNumberFormat="1" applyFill="1" applyBorder="1" applyAlignment="1">
      <alignment/>
    </xf>
    <xf numFmtId="3" fontId="0" fillId="22" borderId="0" xfId="0" applyNumberFormat="1" applyFill="1" applyAlignment="1">
      <alignment/>
    </xf>
    <xf numFmtId="0" fontId="7" fillId="22" borderId="0" xfId="0" applyFont="1" applyFill="1" applyAlignment="1">
      <alignment/>
    </xf>
    <xf numFmtId="0" fontId="7" fillId="0" borderId="0" xfId="0" applyFont="1" applyFill="1" applyAlignment="1">
      <alignment/>
    </xf>
    <xf numFmtId="49" fontId="9" fillId="29" borderId="0" xfId="0" applyNumberFormat="1" applyFont="1" applyFill="1" applyAlignment="1">
      <alignment horizontal="center"/>
    </xf>
    <xf numFmtId="165" fontId="63" fillId="0" borderId="0" xfId="0" applyNumberFormat="1" applyFont="1" applyFill="1" applyAlignment="1">
      <alignment/>
    </xf>
    <xf numFmtId="164" fontId="25" fillId="29" borderId="0" xfId="0" applyNumberFormat="1" applyFont="1" applyFill="1" applyAlignment="1">
      <alignment/>
    </xf>
    <xf numFmtId="0" fontId="64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165" fontId="63" fillId="0" borderId="0" xfId="63" applyNumberFormat="1" applyFont="1" applyAlignment="1">
      <alignment/>
    </xf>
    <xf numFmtId="1" fontId="63" fillId="0" borderId="0" xfId="0" applyNumberFormat="1" applyFont="1" applyAlignment="1">
      <alignment/>
    </xf>
    <xf numFmtId="164" fontId="63" fillId="0" borderId="0" xfId="0" applyNumberFormat="1" applyFont="1" applyFill="1" applyBorder="1" applyAlignment="1">
      <alignment/>
    </xf>
    <xf numFmtId="164" fontId="63" fillId="0" borderId="0" xfId="0" applyNumberFormat="1" applyFont="1" applyAlignment="1">
      <alignment/>
    </xf>
    <xf numFmtId="164" fontId="63" fillId="0" borderId="0" xfId="0" applyNumberFormat="1" applyFont="1" applyFill="1" applyAlignment="1">
      <alignment/>
    </xf>
    <xf numFmtId="164" fontId="64" fillId="0" borderId="0" xfId="0" applyNumberFormat="1" applyFont="1" applyAlignment="1">
      <alignment/>
    </xf>
    <xf numFmtId="164" fontId="63" fillId="0" borderId="0" xfId="63" applyNumberFormat="1" applyFont="1" applyAlignment="1">
      <alignment/>
    </xf>
    <xf numFmtId="164" fontId="63" fillId="0" borderId="0" xfId="0" applyNumberFormat="1" applyFont="1" applyBorder="1" applyAlignment="1">
      <alignment/>
    </xf>
    <xf numFmtId="164" fontId="64" fillId="0" borderId="0" xfId="0" applyNumberFormat="1" applyFont="1" applyFill="1" applyBorder="1" applyAlignment="1">
      <alignment/>
    </xf>
    <xf numFmtId="164" fontId="64" fillId="0" borderId="0" xfId="63" applyNumberFormat="1" applyFont="1" applyAlignment="1">
      <alignment/>
    </xf>
    <xf numFmtId="164" fontId="64" fillId="0" borderId="0" xfId="0" applyNumberFormat="1" applyFont="1" applyBorder="1" applyAlignment="1">
      <alignment/>
    </xf>
    <xf numFmtId="1" fontId="63" fillId="0" borderId="0" xfId="0" applyNumberFormat="1" applyFont="1" applyAlignment="1">
      <alignment horizontal="center"/>
    </xf>
    <xf numFmtId="164" fontId="26" fillId="8" borderId="7" xfId="59" applyFont="1" applyFill="1" applyBorder="1" applyAlignment="1">
      <alignment horizontal="right"/>
      <protection/>
    </xf>
    <xf numFmtId="3" fontId="27" fillId="0" borderId="0" xfId="0" applyNumberFormat="1" applyFont="1" applyAlignment="1">
      <alignment/>
    </xf>
    <xf numFmtId="43" fontId="27" fillId="0" borderId="0" xfId="42" applyFont="1" applyAlignment="1">
      <alignment/>
    </xf>
    <xf numFmtId="164" fontId="0" fillId="22" borderId="0" xfId="0" applyNumberFormat="1" applyFill="1" applyAlignment="1">
      <alignment/>
    </xf>
    <xf numFmtId="164" fontId="16" fillId="0" borderId="0" xfId="0" applyNumberFormat="1" applyFont="1" applyFill="1" applyAlignment="1">
      <alignment/>
    </xf>
    <xf numFmtId="164" fontId="65" fillId="0" borderId="0" xfId="59" applyFont="1" applyFill="1" applyBorder="1" applyAlignment="1">
      <alignment horizontal="right"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9" fontId="7" fillId="24" borderId="22" xfId="0" applyNumberFormat="1" applyFont="1" applyFill="1" applyBorder="1" applyAlignment="1">
      <alignment horizontal="left" indent="2"/>
    </xf>
    <xf numFmtId="164" fontId="24" fillId="24" borderId="22" xfId="0" applyNumberFormat="1" applyFont="1" applyFill="1" applyBorder="1" applyAlignment="1">
      <alignment horizontal="right"/>
    </xf>
    <xf numFmtId="169" fontId="24" fillId="24" borderId="0" xfId="0" applyNumberFormat="1" applyFont="1" applyFill="1" applyBorder="1" applyAlignment="1">
      <alignment horizontal="right"/>
    </xf>
    <xf numFmtId="0" fontId="16" fillId="0" borderId="0" xfId="59" applyNumberFormat="1" applyFont="1">
      <alignment/>
      <protection/>
    </xf>
    <xf numFmtId="164" fontId="16" fillId="8" borderId="7" xfId="59" applyFont="1" applyFill="1" applyBorder="1" applyAlignment="1">
      <alignment horizontal="right"/>
      <protection/>
    </xf>
    <xf numFmtId="164" fontId="26" fillId="4" borderId="7" xfId="59" applyFont="1" applyFill="1" applyBorder="1" applyAlignment="1">
      <alignment/>
      <protection/>
    </xf>
    <xf numFmtId="164" fontId="16" fillId="0" borderId="0" xfId="59" applyFont="1" applyFill="1" applyBorder="1" applyAlignment="1">
      <alignment/>
      <protection/>
    </xf>
    <xf numFmtId="164" fontId="16" fillId="0" borderId="0" xfId="59" applyFont="1" applyFill="1" applyAlignment="1">
      <alignment horizontal="right"/>
      <protection/>
    </xf>
    <xf numFmtId="165" fontId="19" fillId="0" borderId="0" xfId="63" applyNumberFormat="1" applyFont="1" applyFill="1" applyBorder="1" applyAlignment="1">
      <alignment/>
    </xf>
    <xf numFmtId="164" fontId="33" fillId="4" borderId="26" xfId="59" applyFont="1" applyFill="1" applyBorder="1" applyAlignment="1">
      <alignment/>
      <protection/>
    </xf>
    <xf numFmtId="164" fontId="33" fillId="4" borderId="7" xfId="59" applyFont="1" applyFill="1" applyBorder="1" applyAlignment="1">
      <alignment/>
      <protection/>
    </xf>
    <xf numFmtId="164" fontId="33" fillId="4" borderId="7" xfId="59" applyFont="1" applyFill="1" applyBorder="1" applyAlignment="1">
      <alignment horizontal="right"/>
      <protection/>
    </xf>
    <xf numFmtId="164" fontId="26" fillId="4" borderId="14" xfId="59" applyFont="1" applyFill="1" applyBorder="1" applyAlignment="1">
      <alignment horizontal="right"/>
      <protection/>
    </xf>
    <xf numFmtId="0" fontId="26" fillId="0" borderId="0" xfId="59" applyNumberFormat="1" applyFont="1">
      <alignment/>
      <protection/>
    </xf>
    <xf numFmtId="164" fontId="16" fillId="4" borderId="27" xfId="59" applyFont="1" applyFill="1" applyBorder="1" applyAlignment="1">
      <alignment/>
      <protection/>
    </xf>
    <xf numFmtId="164" fontId="16" fillId="4" borderId="7" xfId="59" applyNumberFormat="1" applyFont="1" applyFill="1" applyBorder="1" applyAlignment="1">
      <alignment horizontal="right"/>
      <protection/>
    </xf>
    <xf numFmtId="43" fontId="27" fillId="0" borderId="0" xfId="42" applyFont="1" applyFill="1" applyBorder="1" applyAlignment="1">
      <alignment/>
    </xf>
    <xf numFmtId="0" fontId="62" fillId="30" borderId="0" xfId="0" applyFont="1" applyFill="1" applyAlignment="1">
      <alignment/>
    </xf>
    <xf numFmtId="0" fontId="61" fillId="31" borderId="0" xfId="0" applyFont="1" applyFill="1" applyAlignment="1">
      <alignment/>
    </xf>
    <xf numFmtId="0" fontId="0" fillId="31" borderId="0" xfId="0" applyFill="1" applyAlignment="1">
      <alignment/>
    </xf>
    <xf numFmtId="0" fontId="8" fillId="31" borderId="0" xfId="0" applyFont="1" applyFill="1" applyAlignment="1">
      <alignment/>
    </xf>
    <xf numFmtId="0" fontId="0" fillId="27" borderId="0" xfId="0" applyFont="1" applyFill="1" applyAlignment="1">
      <alignment/>
    </xf>
    <xf numFmtId="0" fontId="27" fillId="0" borderId="0" xfId="0" applyFont="1" applyBorder="1" applyAlignment="1">
      <alignment/>
    </xf>
    <xf numFmtId="165" fontId="63" fillId="0" borderId="0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5" fillId="0" borderId="0" xfId="0" applyNumberFormat="1" applyFont="1" applyBorder="1" applyAlignment="1">
      <alignment/>
    </xf>
    <xf numFmtId="165" fontId="63" fillId="0" borderId="0" xfId="63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indent="1"/>
    </xf>
    <xf numFmtId="165" fontId="64" fillId="0" borderId="0" xfId="63" applyNumberFormat="1" applyFont="1" applyFill="1" applyBorder="1" applyAlignment="1">
      <alignment/>
    </xf>
    <xf numFmtId="165" fontId="18" fillId="0" borderId="0" xfId="63" applyNumberFormat="1" applyFont="1" applyFill="1" applyBorder="1" applyAlignment="1">
      <alignment/>
    </xf>
    <xf numFmtId="165" fontId="13" fillId="0" borderId="0" xfId="63" applyNumberFormat="1" applyFont="1" applyBorder="1" applyAlignment="1">
      <alignment/>
    </xf>
    <xf numFmtId="165" fontId="63" fillId="0" borderId="0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165" fontId="63" fillId="0" borderId="0" xfId="63" applyNumberFormat="1" applyFont="1" applyBorder="1" applyAlignment="1">
      <alignment/>
    </xf>
    <xf numFmtId="165" fontId="24" fillId="0" borderId="0" xfId="63" applyNumberFormat="1" applyFont="1" applyBorder="1" applyAlignment="1">
      <alignment/>
    </xf>
    <xf numFmtId="165" fontId="64" fillId="0" borderId="0" xfId="63" applyNumberFormat="1" applyFont="1" applyBorder="1" applyAlignment="1">
      <alignment/>
    </xf>
    <xf numFmtId="165" fontId="18" fillId="0" borderId="0" xfId="63" applyNumberFormat="1" applyFont="1" applyBorder="1" applyAlignment="1">
      <alignment/>
    </xf>
    <xf numFmtId="10" fontId="13" fillId="20" borderId="0" xfId="63" applyNumberFormat="1" applyFont="1" applyFill="1" applyAlignment="1">
      <alignment horizontal="center"/>
    </xf>
    <xf numFmtId="10" fontId="25" fillId="20" borderId="0" xfId="63" applyNumberFormat="1" applyFont="1" applyFill="1" applyAlignment="1">
      <alignment horizontal="center"/>
    </xf>
    <xf numFmtId="0" fontId="22" fillId="27" borderId="0" xfId="53" applyFill="1" applyAlignment="1" applyProtection="1">
      <alignment/>
      <protection/>
    </xf>
    <xf numFmtId="164" fontId="19" fillId="24" borderId="0" xfId="0" applyNumberFormat="1" applyFont="1" applyFill="1" applyAlignment="1">
      <alignment horizontal="left" wrapText="1"/>
    </xf>
    <xf numFmtId="0" fontId="19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Scenarios Graphs mark one" xfId="57"/>
    <cellStyle name="Normal_FSM data to Kam" xfId="58"/>
    <cellStyle name="Normal_H-Ass" xfId="59"/>
    <cellStyle name="Normal_Health Weights for LTFM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NrPortbl\iManage\DEANSA\97731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be"/>
      <sheetName val="Choices"/>
      <sheetName val="Proj LFPR"/>
      <sheetName val="Popn"/>
      <sheetName val="Input Tracks"/>
      <sheetName val="Basis"/>
      <sheetName val="Basiss"/>
      <sheetName val="ReadyReckoner"/>
      <sheetName val="Scenarios"/>
      <sheetName val="Base"/>
      <sheetName val="Op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.govt.nz/budget/2008/fsr/08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28125" style="209" customWidth="1"/>
    <col min="2" max="2" width="105.140625" style="209" customWidth="1"/>
    <col min="3" max="3" width="22.421875" style="494" customWidth="1"/>
    <col min="4" max="4" width="9.140625" style="494" customWidth="1"/>
    <col min="5" max="5" width="8.57421875" style="494" customWidth="1"/>
    <col min="6" max="6" width="28.28125" style="494" customWidth="1"/>
    <col min="7" max="7" width="6.7109375" style="494" customWidth="1"/>
    <col min="8" max="8" width="6.7109375" style="209" customWidth="1"/>
    <col min="9" max="16384" width="9.140625" style="209" customWidth="1"/>
  </cols>
  <sheetData>
    <row r="1" spans="1:6" ht="27">
      <c r="A1" s="492" t="s">
        <v>974</v>
      </c>
      <c r="B1" s="427"/>
      <c r="C1" s="493"/>
      <c r="D1" s="493"/>
      <c r="E1" s="493"/>
      <c r="F1" s="493"/>
    </row>
    <row r="2" ht="12.75">
      <c r="A2" s="124"/>
    </row>
    <row r="3" spans="1:7" ht="18.75">
      <c r="A3" s="216" t="s">
        <v>452</v>
      </c>
      <c r="B3" s="217"/>
      <c r="C3" s="495"/>
      <c r="D3" s="495"/>
      <c r="E3" s="495"/>
      <c r="F3" s="495"/>
      <c r="G3" s="495"/>
    </row>
    <row r="4" spans="1:2" ht="12.75">
      <c r="A4" s="218" t="s">
        <v>789</v>
      </c>
      <c r="B4" s="209" t="s">
        <v>975</v>
      </c>
    </row>
    <row r="5" spans="1:2" ht="12.75">
      <c r="A5" s="124" t="s">
        <v>453</v>
      </c>
      <c r="B5" s="209" t="s">
        <v>934</v>
      </c>
    </row>
    <row r="6" spans="1:2" ht="12.75">
      <c r="A6" s="124" t="s">
        <v>454</v>
      </c>
      <c r="B6" s="209" t="s">
        <v>935</v>
      </c>
    </row>
    <row r="7" spans="1:2" ht="12.75">
      <c r="A7" s="124" t="s">
        <v>455</v>
      </c>
      <c r="B7" s="209" t="s">
        <v>991</v>
      </c>
    </row>
    <row r="8" spans="1:2" ht="12.75">
      <c r="A8" s="124" t="s">
        <v>456</v>
      </c>
      <c r="B8" s="209" t="s">
        <v>936</v>
      </c>
    </row>
    <row r="9" spans="1:2" ht="12.75">
      <c r="A9" s="124" t="s">
        <v>471</v>
      </c>
      <c r="B9" s="209" t="s">
        <v>937</v>
      </c>
    </row>
    <row r="10" spans="1:2" ht="12.75">
      <c r="A10" s="124"/>
      <c r="B10" s="209" t="s">
        <v>457</v>
      </c>
    </row>
    <row r="11" spans="1:2" ht="12.75">
      <c r="A11" s="124" t="s">
        <v>472</v>
      </c>
      <c r="B11" s="209" t="s">
        <v>938</v>
      </c>
    </row>
    <row r="12" spans="1:2" ht="12.75">
      <c r="A12" s="124" t="s">
        <v>473</v>
      </c>
      <c r="B12" s="209" t="s">
        <v>458</v>
      </c>
    </row>
    <row r="13" spans="1:2" ht="12.75">
      <c r="A13" s="124" t="s">
        <v>162</v>
      </c>
      <c r="B13" s="209" t="s">
        <v>531</v>
      </c>
    </row>
    <row r="14" spans="1:2" ht="12.75">
      <c r="A14" s="124" t="s">
        <v>474</v>
      </c>
      <c r="B14" s="209" t="s">
        <v>619</v>
      </c>
    </row>
    <row r="15" spans="1:2" ht="12.75">
      <c r="A15" s="124" t="s">
        <v>409</v>
      </c>
      <c r="B15" s="209" t="s">
        <v>939</v>
      </c>
    </row>
    <row r="16" spans="1:2" ht="12.75">
      <c r="A16" s="124" t="s">
        <v>705</v>
      </c>
      <c r="B16" s="209" t="s">
        <v>970</v>
      </c>
    </row>
    <row r="17" spans="1:2" ht="12.75">
      <c r="A17" s="124" t="s">
        <v>706</v>
      </c>
      <c r="B17" s="209" t="s">
        <v>940</v>
      </c>
    </row>
    <row r="18" spans="1:2" ht="12.75">
      <c r="A18" s="124" t="s">
        <v>707</v>
      </c>
      <c r="B18" s="209" t="s">
        <v>117</v>
      </c>
    </row>
    <row r="19" ht="12.75">
      <c r="A19" s="124"/>
    </row>
    <row r="20" spans="1:2" ht="12.75">
      <c r="A20" s="218" t="s">
        <v>620</v>
      </c>
      <c r="B20" s="210" t="s">
        <v>941</v>
      </c>
    </row>
    <row r="21" spans="1:2" ht="12.75">
      <c r="A21" s="124" t="s">
        <v>62</v>
      </c>
      <c r="B21" s="209" t="s">
        <v>972</v>
      </c>
    </row>
    <row r="22" spans="1:2" ht="12.75">
      <c r="A22" s="124" t="s">
        <v>621</v>
      </c>
      <c r="B22" s="209" t="s">
        <v>459</v>
      </c>
    </row>
    <row r="23" spans="1:2" ht="12.75">
      <c r="A23" s="124" t="s">
        <v>606</v>
      </c>
      <c r="B23" s="209" t="s">
        <v>460</v>
      </c>
    </row>
    <row r="24" spans="1:2" ht="12.75">
      <c r="A24" s="219" t="s">
        <v>622</v>
      </c>
      <c r="B24" s="209" t="s">
        <v>976</v>
      </c>
    </row>
    <row r="25" spans="1:2" ht="12.75">
      <c r="A25" s="219" t="s">
        <v>580</v>
      </c>
      <c r="B25" s="209" t="s">
        <v>973</v>
      </c>
    </row>
    <row r="26" spans="1:2" ht="12.75">
      <c r="A26" s="219" t="s">
        <v>463</v>
      </c>
      <c r="B26" s="209" t="s">
        <v>462</v>
      </c>
    </row>
    <row r="27" spans="1:2" ht="12.75">
      <c r="A27" s="124"/>
      <c r="B27" s="209" t="s">
        <v>579</v>
      </c>
    </row>
    <row r="28" spans="1:2" ht="12.75">
      <c r="A28" s="124"/>
      <c r="B28" s="209" t="s">
        <v>578</v>
      </c>
    </row>
    <row r="29" ht="12.75">
      <c r="A29" s="219"/>
    </row>
    <row r="30" ht="12.75">
      <c r="A30" s="218" t="s">
        <v>979</v>
      </c>
    </row>
    <row r="31" spans="1:2" ht="12.75">
      <c r="A31" s="219" t="s">
        <v>980</v>
      </c>
      <c r="B31" s="209" t="s">
        <v>461</v>
      </c>
    </row>
    <row r="32" spans="1:2" ht="12.75">
      <c r="A32" s="219" t="s">
        <v>984</v>
      </c>
      <c r="B32" s="496" t="s">
        <v>987</v>
      </c>
    </row>
    <row r="33" spans="1:2" ht="12.75">
      <c r="A33" s="219"/>
      <c r="B33" s="496" t="s">
        <v>985</v>
      </c>
    </row>
    <row r="34" spans="1:2" ht="12.75">
      <c r="A34" s="219"/>
      <c r="B34" s="496" t="s">
        <v>981</v>
      </c>
    </row>
    <row r="35" spans="1:2" ht="12.75">
      <c r="A35" s="219"/>
      <c r="B35" s="496" t="s">
        <v>982</v>
      </c>
    </row>
    <row r="36" spans="1:2" ht="12.75">
      <c r="A36" s="219"/>
      <c r="B36" s="496" t="s">
        <v>983</v>
      </c>
    </row>
    <row r="37" spans="1:2" ht="12.75">
      <c r="A37" s="219"/>
      <c r="B37" s="496" t="s">
        <v>986</v>
      </c>
    </row>
    <row r="38" spans="1:2" ht="12.75">
      <c r="A38" s="219"/>
      <c r="B38" s="496"/>
    </row>
    <row r="39" spans="1:2" ht="12.75">
      <c r="A39" s="218" t="s">
        <v>540</v>
      </c>
      <c r="B39" s="209" t="s">
        <v>464</v>
      </c>
    </row>
    <row r="40" spans="1:2" ht="12.75">
      <c r="A40" s="218"/>
      <c r="B40" s="209" t="s">
        <v>465</v>
      </c>
    </row>
    <row r="41" spans="1:2" ht="12.75">
      <c r="A41" s="124"/>
      <c r="B41" s="209" t="s">
        <v>466</v>
      </c>
    </row>
    <row r="42" spans="1:2" ht="12.75">
      <c r="A42" s="124"/>
      <c r="B42" s="209" t="s">
        <v>467</v>
      </c>
    </row>
    <row r="43" spans="1:2" ht="12.75">
      <c r="A43" s="124"/>
      <c r="B43" s="209" t="s">
        <v>468</v>
      </c>
    </row>
    <row r="44" ht="12.75">
      <c r="A44" s="124"/>
    </row>
    <row r="45" spans="1:2" ht="12.75">
      <c r="A45" s="218" t="s">
        <v>241</v>
      </c>
      <c r="B45" s="209" t="s">
        <v>242</v>
      </c>
    </row>
    <row r="46" spans="1:2" ht="12.75">
      <c r="A46" s="124"/>
      <c r="B46" s="209" t="s">
        <v>243</v>
      </c>
    </row>
    <row r="47" spans="1:2" ht="12.75">
      <c r="A47" s="124"/>
      <c r="B47" s="209" t="s">
        <v>942</v>
      </c>
    </row>
    <row r="48" spans="1:2" ht="12.75">
      <c r="A48" s="124"/>
      <c r="B48" s="209" t="s">
        <v>244</v>
      </c>
    </row>
    <row r="49" ht="12.75">
      <c r="A49" s="124"/>
    </row>
    <row r="50" spans="1:2" ht="12.75">
      <c r="A50" s="124"/>
      <c r="B50" s="209" t="s">
        <v>245</v>
      </c>
    </row>
    <row r="51" spans="1:2" ht="12.75">
      <c r="A51" s="124"/>
      <c r="B51" s="209" t="s">
        <v>977</v>
      </c>
    </row>
    <row r="52" spans="1:2" ht="12.75">
      <c r="A52" s="124"/>
      <c r="B52" s="209" t="s">
        <v>978</v>
      </c>
    </row>
    <row r="53" spans="1:2" ht="12.75">
      <c r="A53" s="124"/>
      <c r="B53" s="209" t="s">
        <v>988</v>
      </c>
    </row>
    <row r="54" spans="1:2" ht="12.75">
      <c r="A54" s="124"/>
      <c r="B54" s="209" t="s">
        <v>989</v>
      </c>
    </row>
    <row r="55" spans="1:2" ht="12.75">
      <c r="A55" s="124"/>
      <c r="B55" s="209" t="s">
        <v>990</v>
      </c>
    </row>
    <row r="56" ht="12.75">
      <c r="A56" s="124"/>
    </row>
    <row r="57" spans="1:2" ht="12.75">
      <c r="A57" s="124"/>
      <c r="B57" s="209" t="s">
        <v>971</v>
      </c>
    </row>
    <row r="58" spans="1:2" ht="12.75">
      <c r="A58" s="124"/>
      <c r="B58" s="209" t="s">
        <v>943</v>
      </c>
    </row>
    <row r="59" ht="12.75">
      <c r="A59" s="124"/>
    </row>
    <row r="60" spans="1:2" ht="12.75">
      <c r="A60" s="124"/>
      <c r="B60" s="209" t="s">
        <v>992</v>
      </c>
    </row>
    <row r="61" spans="1:2" ht="12.75">
      <c r="A61" s="124"/>
      <c r="B61" s="515" t="s">
        <v>993</v>
      </c>
    </row>
  </sheetData>
  <sheetProtection/>
  <hyperlinks>
    <hyperlink ref="B61" r:id="rId1" display="http://www.treasury.govt.nz/budget/2008/fsr/08.htm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</cols>
  <sheetData>
    <row r="1" spans="1:2" ht="15.75">
      <c r="A1" s="14" t="s">
        <v>49</v>
      </c>
      <c r="B1">
        <v>23</v>
      </c>
    </row>
    <row r="2" spans="1:2" ht="12.75">
      <c r="A2" s="50" t="s">
        <v>40</v>
      </c>
      <c r="B2" s="52">
        <v>1</v>
      </c>
    </row>
    <row r="3" spans="1:2" ht="12.75">
      <c r="A3" s="50" t="s">
        <v>914</v>
      </c>
      <c r="B3" s="52">
        <v>2</v>
      </c>
    </row>
    <row r="4" spans="1:2" ht="12.75">
      <c r="A4" s="50" t="s">
        <v>915</v>
      </c>
      <c r="B4" s="52">
        <v>3</v>
      </c>
    </row>
    <row r="5" spans="1:2" ht="12.75">
      <c r="A5" s="50" t="s">
        <v>916</v>
      </c>
      <c r="B5" s="52">
        <v>4</v>
      </c>
    </row>
    <row r="6" spans="1:2" ht="12.75">
      <c r="A6" s="50" t="s">
        <v>918</v>
      </c>
      <c r="B6" s="52">
        <v>5</v>
      </c>
    </row>
    <row r="7" spans="1:2" ht="12.75">
      <c r="A7" s="50" t="s">
        <v>42</v>
      </c>
      <c r="B7" s="52">
        <v>6</v>
      </c>
    </row>
    <row r="8" spans="1:2" ht="12.75">
      <c r="A8" s="50"/>
      <c r="B8" s="52">
        <v>7</v>
      </c>
    </row>
    <row r="9" spans="1:2" ht="12.75">
      <c r="A9" s="50" t="s">
        <v>41</v>
      </c>
      <c r="B9" s="52">
        <v>8</v>
      </c>
    </row>
    <row r="10" spans="1:2" ht="12.75">
      <c r="A10" s="50"/>
      <c r="B10" s="52">
        <v>9</v>
      </c>
    </row>
    <row r="11" spans="1:2" ht="12.75">
      <c r="A11" s="50" t="s">
        <v>50</v>
      </c>
      <c r="B11" s="52">
        <v>10</v>
      </c>
    </row>
    <row r="12" spans="1:2" ht="12.75">
      <c r="A12" s="50" t="s">
        <v>919</v>
      </c>
      <c r="B12" s="52">
        <v>11</v>
      </c>
    </row>
    <row r="13" spans="1:2" ht="12.75">
      <c r="A13" s="50" t="s">
        <v>920</v>
      </c>
      <c r="B13" s="52">
        <v>12</v>
      </c>
    </row>
    <row r="14" spans="1:2" ht="12.75">
      <c r="A14" s="50" t="s">
        <v>921</v>
      </c>
      <c r="B14" s="52">
        <v>13</v>
      </c>
    </row>
    <row r="15" spans="1:2" ht="12.75">
      <c r="A15" s="50"/>
      <c r="B15" s="52">
        <v>14</v>
      </c>
    </row>
    <row r="16" spans="1:2" ht="12.75">
      <c r="A16" s="50" t="s">
        <v>51</v>
      </c>
      <c r="B16" s="52">
        <v>15</v>
      </c>
    </row>
    <row r="17" spans="1:2" ht="12.75">
      <c r="A17" s="50"/>
      <c r="B17" s="52">
        <v>16</v>
      </c>
    </row>
    <row r="18" spans="1:2" ht="12.75">
      <c r="A18" s="50"/>
      <c r="B18" s="52">
        <v>17</v>
      </c>
    </row>
    <row r="19" spans="1:2" ht="12.75">
      <c r="A19" s="50" t="s">
        <v>43</v>
      </c>
      <c r="B19" s="52">
        <v>18</v>
      </c>
    </row>
    <row r="20" spans="1:2" ht="12.75">
      <c r="A20" s="50" t="s">
        <v>44</v>
      </c>
      <c r="B20" s="52">
        <v>19</v>
      </c>
    </row>
    <row r="21" spans="1:2" ht="12.75">
      <c r="A21" s="50" t="s">
        <v>47</v>
      </c>
      <c r="B21" s="52">
        <v>20</v>
      </c>
    </row>
    <row r="22" spans="1:2" ht="12.75">
      <c r="A22" s="50" t="s">
        <v>48</v>
      </c>
      <c r="B22" s="52">
        <v>21</v>
      </c>
    </row>
    <row r="23" spans="1:2" ht="12.75">
      <c r="A23" s="50" t="s">
        <v>45</v>
      </c>
      <c r="B23" s="52">
        <v>22</v>
      </c>
    </row>
    <row r="24" spans="1:2" ht="12.75">
      <c r="A24" s="50" t="s">
        <v>46</v>
      </c>
      <c r="B24" s="52">
        <v>23</v>
      </c>
    </row>
    <row r="25" ht="12.75">
      <c r="B25" s="52">
        <v>24</v>
      </c>
    </row>
    <row r="26" spans="1:2" ht="12.75">
      <c r="A26" s="50" t="s">
        <v>651</v>
      </c>
      <c r="B26" s="52">
        <v>25</v>
      </c>
    </row>
    <row r="27" spans="1:2" ht="12.75">
      <c r="A27" s="50" t="s">
        <v>52</v>
      </c>
      <c r="B27" s="52">
        <v>26</v>
      </c>
    </row>
    <row r="28" spans="1:2" ht="12.75">
      <c r="A28" s="50" t="s">
        <v>53</v>
      </c>
      <c r="B28" s="52">
        <v>27</v>
      </c>
    </row>
    <row r="29" spans="1:2" ht="12.75">
      <c r="A29" s="50" t="s">
        <v>54</v>
      </c>
      <c r="B29" s="52">
        <v>28</v>
      </c>
    </row>
    <row r="30" spans="1:2" ht="12.75">
      <c r="A30" s="50" t="s">
        <v>803</v>
      </c>
      <c r="B30" s="52">
        <v>29</v>
      </c>
    </row>
    <row r="31" spans="1:2" ht="12.75">
      <c r="A31" s="50" t="s">
        <v>535</v>
      </c>
      <c r="B31" s="52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2.140625" style="0" customWidth="1"/>
    <col min="2" max="2" width="6.57421875" style="0" customWidth="1"/>
    <col min="3" max="4" width="12.00390625" style="145" customWidth="1"/>
    <col min="5" max="5" width="8.7109375" style="145" customWidth="1"/>
    <col min="6" max="7" width="9.140625" style="145" customWidth="1"/>
    <col min="8" max="9" width="8.421875" style="145" customWidth="1"/>
  </cols>
  <sheetData>
    <row r="1" spans="1:5" ht="15.75">
      <c r="A1" s="33" t="s">
        <v>529</v>
      </c>
      <c r="B1" s="33"/>
      <c r="C1" s="161"/>
      <c r="D1" s="161"/>
      <c r="E1" s="161"/>
    </row>
    <row r="2" spans="1:9" ht="12.75">
      <c r="A2" s="71"/>
      <c r="B2" s="71"/>
      <c r="C2" s="34" t="s">
        <v>257</v>
      </c>
      <c r="D2" s="34" t="s">
        <v>258</v>
      </c>
      <c r="E2" s="151" t="s">
        <v>259</v>
      </c>
      <c r="F2" s="151" t="s">
        <v>66</v>
      </c>
      <c r="G2" s="151" t="s">
        <v>261</v>
      </c>
      <c r="H2" s="151" t="s">
        <v>262</v>
      </c>
      <c r="I2" s="151" t="s">
        <v>263</v>
      </c>
    </row>
    <row r="3" spans="1:9" ht="12.75">
      <c r="A3" s="70"/>
      <c r="B3" s="70"/>
      <c r="C3" s="277">
        <v>1</v>
      </c>
      <c r="D3" s="277">
        <v>2</v>
      </c>
      <c r="E3" s="276">
        <v>3</v>
      </c>
      <c r="F3" s="276">
        <v>4</v>
      </c>
      <c r="G3" s="276">
        <v>5</v>
      </c>
      <c r="H3" s="276">
        <v>6</v>
      </c>
      <c r="I3" s="276">
        <v>7</v>
      </c>
    </row>
    <row r="4" spans="1:5" ht="15.75">
      <c r="A4" s="77" t="s">
        <v>63</v>
      </c>
      <c r="B4" s="77"/>
      <c r="C4" s="257"/>
      <c r="D4" s="257"/>
      <c r="E4" s="154"/>
    </row>
    <row r="5" spans="1:10" ht="12.75">
      <c r="A5" s="98" t="s">
        <v>64</v>
      </c>
      <c r="B5" s="98"/>
      <c r="C5" s="253">
        <v>53.064</v>
      </c>
      <c r="D5" s="253">
        <v>56.372</v>
      </c>
      <c r="E5" s="480">
        <v>55.538</v>
      </c>
      <c r="F5" s="480">
        <v>56.8</v>
      </c>
      <c r="G5" s="480">
        <v>58.674</v>
      </c>
      <c r="H5" s="480">
        <v>61.269</v>
      </c>
      <c r="I5" s="480">
        <v>64.374</v>
      </c>
      <c r="J5" s="58"/>
    </row>
    <row r="6" spans="1:10" ht="12.75">
      <c r="A6" s="98" t="s">
        <v>798</v>
      </c>
      <c r="B6" s="98"/>
      <c r="C6" s="253">
        <v>3.496</v>
      </c>
      <c r="D6" s="253">
        <v>3.879</v>
      </c>
      <c r="E6" s="480">
        <v>3.993</v>
      </c>
      <c r="F6" s="480">
        <v>4.501</v>
      </c>
      <c r="G6" s="480">
        <v>5.052</v>
      </c>
      <c r="H6" s="480">
        <v>5.366</v>
      </c>
      <c r="I6" s="480">
        <v>6.015</v>
      </c>
      <c r="J6" s="58"/>
    </row>
    <row r="7" spans="1:10" ht="12.75">
      <c r="A7" s="74" t="s">
        <v>65</v>
      </c>
      <c r="B7" s="74"/>
      <c r="C7" s="254">
        <f aca="true" t="shared" si="0" ref="C7:I7">SUM(C$5,C$6)</f>
        <v>56.56</v>
      </c>
      <c r="D7" s="254">
        <f>SUM(D$5,D$6)</f>
        <v>60.251</v>
      </c>
      <c r="E7" s="162">
        <f t="shared" si="0"/>
        <v>59.531</v>
      </c>
      <c r="F7" s="162">
        <f t="shared" si="0"/>
        <v>61.300999999999995</v>
      </c>
      <c r="G7" s="162">
        <f t="shared" si="0"/>
        <v>63.726</v>
      </c>
      <c r="H7" s="162">
        <f t="shared" si="0"/>
        <v>66.63499999999999</v>
      </c>
      <c r="I7" s="162">
        <f t="shared" si="0"/>
        <v>70.389</v>
      </c>
      <c r="J7" s="58"/>
    </row>
    <row r="8" spans="1:10" ht="12.75">
      <c r="A8" s="98" t="s">
        <v>924</v>
      </c>
      <c r="B8" s="98"/>
      <c r="C8" s="253">
        <v>12.613</v>
      </c>
      <c r="D8" s="253">
        <v>15.399</v>
      </c>
      <c r="E8" s="480">
        <v>16.084</v>
      </c>
      <c r="F8" s="480">
        <v>16.625</v>
      </c>
      <c r="G8" s="480">
        <v>17.832</v>
      </c>
      <c r="H8" s="480">
        <v>18.201</v>
      </c>
      <c r="I8" s="480">
        <v>19.051</v>
      </c>
      <c r="J8" s="58"/>
    </row>
    <row r="9" spans="1:10" ht="12.75">
      <c r="A9" s="98" t="s">
        <v>799</v>
      </c>
      <c r="B9" s="98"/>
      <c r="C9" s="253">
        <v>2.995</v>
      </c>
      <c r="D9" s="253">
        <v>3.214</v>
      </c>
      <c r="E9" s="480">
        <v>3.828</v>
      </c>
      <c r="F9" s="480">
        <v>3.867</v>
      </c>
      <c r="G9" s="480">
        <v>4.256</v>
      </c>
      <c r="H9" s="480">
        <v>4.456</v>
      </c>
      <c r="I9" s="480">
        <v>4.471</v>
      </c>
      <c r="J9" s="58"/>
    </row>
    <row r="10" spans="1:10" ht="12.75">
      <c r="A10" s="98" t="s">
        <v>925</v>
      </c>
      <c r="B10" s="98"/>
      <c r="C10" s="489">
        <v>2.421</v>
      </c>
      <c r="D10" s="489">
        <v>2.615</v>
      </c>
      <c r="E10" s="480">
        <v>2.247</v>
      </c>
      <c r="F10" s="480">
        <v>2.851</v>
      </c>
      <c r="G10" s="480">
        <v>2.842</v>
      </c>
      <c r="H10" s="480">
        <v>2.909</v>
      </c>
      <c r="I10" s="480">
        <v>2.977</v>
      </c>
      <c r="J10" s="58"/>
    </row>
    <row r="11" spans="1:10" ht="12.75">
      <c r="A11" s="74" t="s">
        <v>67</v>
      </c>
      <c r="B11" s="74"/>
      <c r="C11" s="254">
        <f aca="true" t="shared" si="1" ref="C11:I11">SUM(C$8:C$10)</f>
        <v>18.029</v>
      </c>
      <c r="D11" s="254">
        <f>SUM(D$8:D$10)</f>
        <v>21.228</v>
      </c>
      <c r="E11" s="162">
        <f t="shared" si="1"/>
        <v>22.159</v>
      </c>
      <c r="F11" s="162">
        <f t="shared" si="1"/>
        <v>23.343</v>
      </c>
      <c r="G11" s="162">
        <f t="shared" si="1"/>
        <v>24.93</v>
      </c>
      <c r="H11" s="162">
        <f t="shared" si="1"/>
        <v>25.566</v>
      </c>
      <c r="I11" s="162">
        <f t="shared" si="1"/>
        <v>26.499</v>
      </c>
      <c r="J11" s="58"/>
    </row>
    <row r="12" spans="1:10" ht="12.75">
      <c r="A12" s="74" t="s">
        <v>796</v>
      </c>
      <c r="B12" s="74"/>
      <c r="C12" s="256">
        <f aca="true" t="shared" si="2" ref="C12:I12">SUM(C$7,C$11)</f>
        <v>74.589</v>
      </c>
      <c r="D12" s="256">
        <f t="shared" si="2"/>
        <v>81.479</v>
      </c>
      <c r="E12" s="163">
        <f t="shared" si="2"/>
        <v>81.69</v>
      </c>
      <c r="F12" s="163">
        <f t="shared" si="2"/>
        <v>84.64399999999999</v>
      </c>
      <c r="G12" s="163">
        <f t="shared" si="2"/>
        <v>88.656</v>
      </c>
      <c r="H12" s="163">
        <f t="shared" si="2"/>
        <v>92.201</v>
      </c>
      <c r="I12" s="163">
        <f t="shared" si="2"/>
        <v>96.88799999999999</v>
      </c>
      <c r="J12" s="58"/>
    </row>
    <row r="13" spans="1:10" ht="12.75">
      <c r="A13" s="74" t="s">
        <v>68</v>
      </c>
      <c r="B13" s="74"/>
      <c r="C13" s="257"/>
      <c r="D13" s="257"/>
      <c r="E13" s="154"/>
      <c r="F13" s="154"/>
      <c r="G13" s="154"/>
      <c r="H13" s="154"/>
      <c r="I13" s="154"/>
      <c r="J13" s="58"/>
    </row>
    <row r="14" spans="1:10" ht="12.75">
      <c r="A14" s="98" t="s">
        <v>926</v>
      </c>
      <c r="B14" s="98"/>
      <c r="C14" s="253">
        <v>19.829</v>
      </c>
      <c r="D14" s="253">
        <v>21.509</v>
      </c>
      <c r="E14" s="480">
        <v>23.382</v>
      </c>
      <c r="F14" s="480">
        <v>24.505</v>
      </c>
      <c r="G14" s="480">
        <v>25.473</v>
      </c>
      <c r="H14" s="480">
        <v>26.707</v>
      </c>
      <c r="I14" s="480">
        <v>27.886</v>
      </c>
      <c r="J14" s="58"/>
    </row>
    <row r="15" spans="1:10" ht="12.75">
      <c r="A15" s="98" t="s">
        <v>928</v>
      </c>
      <c r="B15" s="98"/>
      <c r="C15" s="253">
        <v>0.645</v>
      </c>
      <c r="D15" s="253">
        <v>0.69</v>
      </c>
      <c r="E15" s="480">
        <v>0.654</v>
      </c>
      <c r="F15" s="480">
        <v>0.555</v>
      </c>
      <c r="G15" s="480">
        <v>0.545</v>
      </c>
      <c r="H15" s="480">
        <v>0.548</v>
      </c>
      <c r="I15" s="480">
        <v>0.549</v>
      </c>
      <c r="J15" s="58"/>
    </row>
    <row r="16" spans="1:10" ht="12.75">
      <c r="A16" s="98" t="s">
        <v>236</v>
      </c>
      <c r="B16" s="98"/>
      <c r="C16" s="253">
        <v>10.661</v>
      </c>
      <c r="D16" s="253">
        <v>10.809</v>
      </c>
      <c r="E16" s="480">
        <v>11.884</v>
      </c>
      <c r="F16" s="480">
        <v>11.874</v>
      </c>
      <c r="G16" s="480">
        <v>11.864</v>
      </c>
      <c r="H16" s="480">
        <v>11.861</v>
      </c>
      <c r="I16" s="480">
        <v>11.917</v>
      </c>
      <c r="J16" s="58"/>
    </row>
    <row r="17" spans="1:10" ht="12.75">
      <c r="A17" s="98" t="s">
        <v>506</v>
      </c>
      <c r="B17" s="98"/>
      <c r="C17" s="253">
        <v>9.853</v>
      </c>
      <c r="D17" s="253">
        <v>10.397</v>
      </c>
      <c r="E17" s="480">
        <v>11.643</v>
      </c>
      <c r="F17" s="480">
        <v>11.947</v>
      </c>
      <c r="G17" s="480">
        <v>12.167</v>
      </c>
      <c r="H17" s="480">
        <v>12.453</v>
      </c>
      <c r="I17" s="480">
        <v>12.658</v>
      </c>
      <c r="J17" s="58"/>
    </row>
    <row r="18" spans="1:10" ht="12.75">
      <c r="A18" s="98" t="s">
        <v>60</v>
      </c>
      <c r="B18" s="98"/>
      <c r="C18" s="253">
        <v>4.628</v>
      </c>
      <c r="D18" s="253">
        <v>3.274</v>
      </c>
      <c r="E18" s="480">
        <v>3.576</v>
      </c>
      <c r="F18" s="480">
        <v>3.57</v>
      </c>
      <c r="G18" s="480">
        <v>3.809</v>
      </c>
      <c r="H18" s="480">
        <v>3.896</v>
      </c>
      <c r="I18" s="480">
        <v>4.029</v>
      </c>
      <c r="J18" s="58"/>
    </row>
    <row r="19" spans="1:10" ht="12.75">
      <c r="A19" s="98" t="s">
        <v>61</v>
      </c>
      <c r="B19" s="98"/>
      <c r="C19" s="253">
        <v>2.822</v>
      </c>
      <c r="D19" s="253">
        <v>3.082</v>
      </c>
      <c r="E19" s="480">
        <v>3.37</v>
      </c>
      <c r="F19" s="480">
        <v>3.382</v>
      </c>
      <c r="G19" s="480">
        <v>3.383</v>
      </c>
      <c r="H19" s="480">
        <v>3.392</v>
      </c>
      <c r="I19" s="480">
        <v>3.415</v>
      </c>
      <c r="J19" s="58"/>
    </row>
    <row r="20" spans="1:10" ht="12.75">
      <c r="A20" s="98" t="s">
        <v>237</v>
      </c>
      <c r="B20" s="98"/>
      <c r="C20" s="253">
        <v>1.478</v>
      </c>
      <c r="D20" s="253">
        <v>1.525</v>
      </c>
      <c r="E20" s="480">
        <v>1.716</v>
      </c>
      <c r="F20" s="480">
        <v>1.69</v>
      </c>
      <c r="G20" s="480">
        <v>1.675</v>
      </c>
      <c r="H20" s="480">
        <v>1.664</v>
      </c>
      <c r="I20" s="480">
        <v>1.662</v>
      </c>
      <c r="J20" s="58"/>
    </row>
    <row r="21" spans="1:10" ht="12.75">
      <c r="A21" s="98" t="s">
        <v>55</v>
      </c>
      <c r="B21" s="98"/>
      <c r="C21" s="253">
        <v>6.99</v>
      </c>
      <c r="D21" s="253">
        <v>7.424</v>
      </c>
      <c r="E21" s="480">
        <v>9.487</v>
      </c>
      <c r="F21" s="480">
        <v>8.879</v>
      </c>
      <c r="G21" s="480">
        <v>9.271</v>
      </c>
      <c r="H21" s="480">
        <v>9.24</v>
      </c>
      <c r="I21" s="480">
        <v>9.492</v>
      </c>
      <c r="J21" s="58"/>
    </row>
    <row r="22" spans="1:10" ht="12.75">
      <c r="A22" s="98" t="s">
        <v>56</v>
      </c>
      <c r="B22" s="98"/>
      <c r="C22" s="253">
        <v>4.723</v>
      </c>
      <c r="D22" s="253">
        <v>7.936</v>
      </c>
      <c r="E22" s="480">
        <v>7.2936000000000005</v>
      </c>
      <c r="F22" s="480">
        <v>7.40821</v>
      </c>
      <c r="G22" s="480">
        <v>8.10336</v>
      </c>
      <c r="H22" s="480">
        <v>8.18581</v>
      </c>
      <c r="I22" s="480">
        <v>8.41118</v>
      </c>
      <c r="J22" s="58"/>
    </row>
    <row r="23" spans="1:10" ht="12.75">
      <c r="A23" s="98" t="s">
        <v>621</v>
      </c>
      <c r="B23" s="98"/>
      <c r="C23" s="258">
        <v>0</v>
      </c>
      <c r="D23" s="253">
        <v>1.102</v>
      </c>
      <c r="E23" s="480">
        <v>1.4404000000000001</v>
      </c>
      <c r="F23" s="480">
        <v>1.54579</v>
      </c>
      <c r="G23" s="480">
        <v>1.6986400000000001</v>
      </c>
      <c r="H23" s="480">
        <v>1.78719</v>
      </c>
      <c r="I23" s="480">
        <v>1.85282</v>
      </c>
      <c r="J23" s="58"/>
    </row>
    <row r="24" spans="1:10" ht="12.75">
      <c r="A24" s="98" t="s">
        <v>57</v>
      </c>
      <c r="B24" s="98"/>
      <c r="C24" s="253">
        <v>1.233</v>
      </c>
      <c r="D24" s="253">
        <v>1.459</v>
      </c>
      <c r="E24" s="480">
        <v>1.45</v>
      </c>
      <c r="F24" s="480">
        <v>1.441</v>
      </c>
      <c r="G24" s="480">
        <v>1.474</v>
      </c>
      <c r="H24" s="480">
        <v>1.498</v>
      </c>
      <c r="I24" s="480">
        <v>1.503</v>
      </c>
      <c r="J24" s="58"/>
    </row>
    <row r="25" spans="1:10" ht="12.75">
      <c r="A25" s="98" t="s">
        <v>58</v>
      </c>
      <c r="B25" s="98"/>
      <c r="C25" s="255">
        <v>2.043</v>
      </c>
      <c r="D25" s="255">
        <v>2.337</v>
      </c>
      <c r="E25" s="152">
        <v>2.808</v>
      </c>
      <c r="F25" s="152">
        <v>3.353</v>
      </c>
      <c r="G25" s="152">
        <v>3.117</v>
      </c>
      <c r="H25" s="152">
        <v>3.177</v>
      </c>
      <c r="I25" s="152">
        <v>3.652</v>
      </c>
      <c r="J25" s="58"/>
    </row>
    <row r="26" spans="1:10" ht="12.75">
      <c r="A26" s="98" t="s">
        <v>59</v>
      </c>
      <c r="B26" s="98"/>
      <c r="C26" s="255">
        <v>0.865</v>
      </c>
      <c r="D26" s="255">
        <v>0.938</v>
      </c>
      <c r="E26" s="152">
        <v>1.053</v>
      </c>
      <c r="F26" s="152">
        <v>1.087</v>
      </c>
      <c r="G26" s="152">
        <v>1.147</v>
      </c>
      <c r="H26" s="152">
        <v>1.184</v>
      </c>
      <c r="I26" s="152">
        <v>1.142</v>
      </c>
      <c r="J26" s="58"/>
    </row>
    <row r="27" spans="1:10" ht="12.75">
      <c r="A27" s="98" t="s">
        <v>238</v>
      </c>
      <c r="B27" s="98"/>
      <c r="C27" s="255">
        <v>0.074</v>
      </c>
      <c r="D27" s="255">
        <v>0.259</v>
      </c>
      <c r="E27" s="152">
        <v>-0.036</v>
      </c>
      <c r="F27" s="152">
        <v>0.431</v>
      </c>
      <c r="G27" s="152">
        <v>0.178</v>
      </c>
      <c r="H27" s="152">
        <v>0.178</v>
      </c>
      <c r="I27" s="152">
        <v>0.178</v>
      </c>
      <c r="J27" s="58"/>
    </row>
    <row r="28" spans="1:10" ht="12.75">
      <c r="A28" s="98" t="s">
        <v>600</v>
      </c>
      <c r="B28" s="98"/>
      <c r="C28" s="255">
        <v>2.885</v>
      </c>
      <c r="D28" s="255">
        <v>3.101</v>
      </c>
      <c r="E28" s="152">
        <v>3.311</v>
      </c>
      <c r="F28" s="152">
        <v>3.457</v>
      </c>
      <c r="G28" s="152">
        <v>4.009</v>
      </c>
      <c r="H28" s="152">
        <v>4.434</v>
      </c>
      <c r="I28" s="152">
        <v>4.916</v>
      </c>
      <c r="J28" s="58"/>
    </row>
    <row r="29" spans="1:10" ht="12.75">
      <c r="A29" s="98" t="s">
        <v>105</v>
      </c>
      <c r="B29" s="98"/>
      <c r="C29" s="255">
        <v>0</v>
      </c>
      <c r="D29" s="255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58"/>
    </row>
    <row r="30" spans="1:10" ht="12.75">
      <c r="A30" s="98" t="s">
        <v>106</v>
      </c>
      <c r="B30" s="98"/>
      <c r="C30" s="255">
        <v>0</v>
      </c>
      <c r="D30" s="255">
        <v>0</v>
      </c>
      <c r="E30" s="480">
        <v>0.172</v>
      </c>
      <c r="F30" s="480">
        <v>1.615</v>
      </c>
      <c r="G30" s="480">
        <v>3.498</v>
      </c>
      <c r="H30" s="480">
        <v>5.288</v>
      </c>
      <c r="I30" s="480">
        <v>7.149</v>
      </c>
      <c r="J30" s="58"/>
    </row>
    <row r="31" spans="1:10" ht="12.75">
      <c r="A31" s="98" t="s">
        <v>793</v>
      </c>
      <c r="B31" s="98"/>
      <c r="C31" s="255">
        <v>0</v>
      </c>
      <c r="D31" s="255">
        <v>0</v>
      </c>
      <c r="E31" s="480">
        <v>-1.45</v>
      </c>
      <c r="F31" s="480">
        <v>-0.35</v>
      </c>
      <c r="G31" s="480">
        <v>-0.275</v>
      </c>
      <c r="H31" s="480">
        <v>-0.2</v>
      </c>
      <c r="I31" s="480">
        <v>-0.15</v>
      </c>
      <c r="J31" s="58"/>
    </row>
    <row r="32" spans="1:10" ht="12.75">
      <c r="A32" s="74" t="s">
        <v>797</v>
      </c>
      <c r="B32" s="74"/>
      <c r="C32" s="256">
        <f aca="true" t="shared" si="3" ref="C32:I32">SUM(C$14:C$31)</f>
        <v>68.729</v>
      </c>
      <c r="D32" s="256">
        <f>SUM(D$14:D$31)</f>
        <v>75.84200000000001</v>
      </c>
      <c r="E32" s="163">
        <f t="shared" si="3"/>
        <v>81.754</v>
      </c>
      <c r="F32" s="163">
        <f t="shared" si="3"/>
        <v>86.38999999999999</v>
      </c>
      <c r="G32" s="163">
        <f t="shared" si="3"/>
        <v>91.13700000000001</v>
      </c>
      <c r="H32" s="163">
        <f t="shared" si="3"/>
        <v>95.293</v>
      </c>
      <c r="I32" s="163">
        <f t="shared" si="3"/>
        <v>100.26199999999999</v>
      </c>
      <c r="J32" s="58"/>
    </row>
    <row r="33" spans="1:10" ht="12.75">
      <c r="A33" s="74" t="s">
        <v>795</v>
      </c>
      <c r="B33" s="74"/>
      <c r="C33" s="259">
        <v>5.86</v>
      </c>
      <c r="D33" s="259">
        <v>5.637</v>
      </c>
      <c r="E33" s="484">
        <v>-0.06400000000000716</v>
      </c>
      <c r="F33" s="484">
        <v>-1.7459999999999951</v>
      </c>
      <c r="G33" s="484">
        <v>-2.4810000000000088</v>
      </c>
      <c r="H33" s="484">
        <v>-3.092000000000013</v>
      </c>
      <c r="I33" s="484">
        <v>-3.3739999999999952</v>
      </c>
      <c r="J33" s="58"/>
    </row>
    <row r="34" spans="1:10" ht="12.75">
      <c r="A34" s="98" t="s">
        <v>800</v>
      </c>
      <c r="B34" s="98"/>
      <c r="C34" s="253">
        <v>1.566</v>
      </c>
      <c r="D34" s="253">
        <v>-0.617</v>
      </c>
      <c r="E34" s="480">
        <v>1.462</v>
      </c>
      <c r="F34" s="480">
        <v>1.535</v>
      </c>
      <c r="G34" s="480">
        <v>1.783</v>
      </c>
      <c r="H34" s="480">
        <v>2.046</v>
      </c>
      <c r="I34" s="480">
        <v>2.335</v>
      </c>
      <c r="J34" s="58"/>
    </row>
    <row r="35" spans="1:10" ht="12.75">
      <c r="A35" s="98" t="s">
        <v>816</v>
      </c>
      <c r="B35" s="98"/>
      <c r="C35" s="253">
        <v>0.486</v>
      </c>
      <c r="D35" s="253">
        <v>-2.924</v>
      </c>
      <c r="E35" s="480">
        <v>0.178</v>
      </c>
      <c r="F35" s="480">
        <v>0.22</v>
      </c>
      <c r="G35" s="480">
        <v>0.24</v>
      </c>
      <c r="H35" s="480">
        <v>0.253</v>
      </c>
      <c r="I35" s="480">
        <v>0.26</v>
      </c>
      <c r="J35" s="58"/>
    </row>
    <row r="36" spans="1:10" ht="12.75">
      <c r="A36" s="98" t="s">
        <v>794</v>
      </c>
      <c r="B36" s="98"/>
      <c r="C36" s="253">
        <v>0.191</v>
      </c>
      <c r="D36" s="253">
        <v>0.334</v>
      </c>
      <c r="E36" s="480">
        <v>0.334</v>
      </c>
      <c r="F36" s="480">
        <v>0.366</v>
      </c>
      <c r="G36" s="480">
        <v>0.388</v>
      </c>
      <c r="H36" s="480">
        <v>0.398</v>
      </c>
      <c r="I36" s="480">
        <v>0.398</v>
      </c>
      <c r="J36" s="58"/>
    </row>
    <row r="37" spans="1:10" ht="12.75">
      <c r="A37" s="74" t="s">
        <v>107</v>
      </c>
      <c r="B37" s="74"/>
      <c r="C37" s="259">
        <v>8.103</v>
      </c>
      <c r="D37" s="259">
        <f>2.588-0.158</f>
        <v>2.43</v>
      </c>
      <c r="E37" s="484">
        <v>1.9099999999999928</v>
      </c>
      <c r="F37" s="484">
        <v>0.3750000000000048</v>
      </c>
      <c r="G37" s="484">
        <v>-0.07000000000000883</v>
      </c>
      <c r="H37" s="484">
        <v>-0.3950000000000131</v>
      </c>
      <c r="I37" s="484">
        <v>-0.38099999999999523</v>
      </c>
      <c r="J37" s="58"/>
    </row>
    <row r="38" spans="1:10" ht="12.75">
      <c r="A38" s="74" t="s">
        <v>133</v>
      </c>
      <c r="B38" s="74"/>
      <c r="C38" s="260"/>
      <c r="D38" s="260"/>
      <c r="E38" s="153"/>
      <c r="F38" s="153"/>
      <c r="G38" s="153"/>
      <c r="H38" s="153"/>
      <c r="I38" s="153"/>
      <c r="J38" s="58"/>
    </row>
    <row r="39" spans="1:10" ht="12.75">
      <c r="A39" s="98" t="s">
        <v>926</v>
      </c>
      <c r="B39" s="98"/>
      <c r="C39" s="253">
        <v>16.768</v>
      </c>
      <c r="D39" s="253">
        <v>17.877</v>
      </c>
      <c r="E39" s="480">
        <v>19.156</v>
      </c>
      <c r="F39" s="480">
        <v>20.112</v>
      </c>
      <c r="G39" s="480">
        <v>20.78</v>
      </c>
      <c r="H39" s="480">
        <v>21.68</v>
      </c>
      <c r="I39" s="480">
        <v>22.529</v>
      </c>
      <c r="J39" s="58"/>
    </row>
    <row r="40" spans="1:10" ht="12.75">
      <c r="A40" s="98" t="s">
        <v>928</v>
      </c>
      <c r="B40" s="98"/>
      <c r="C40" s="253">
        <v>0.645</v>
      </c>
      <c r="D40" s="253">
        <v>0.69</v>
      </c>
      <c r="E40" s="480">
        <v>0.654</v>
      </c>
      <c r="F40" s="480">
        <v>0.555</v>
      </c>
      <c r="G40" s="480">
        <v>0.545</v>
      </c>
      <c r="H40" s="480">
        <v>0.548</v>
      </c>
      <c r="I40" s="480">
        <v>0.549</v>
      </c>
      <c r="J40" s="58"/>
    </row>
    <row r="41" spans="1:10" ht="12.75">
      <c r="A41" s="98" t="s">
        <v>236</v>
      </c>
      <c r="B41" s="98"/>
      <c r="C41" s="253">
        <v>10.355</v>
      </c>
      <c r="D41" s="253">
        <v>11.297</v>
      </c>
      <c r="E41" s="480">
        <v>12.377</v>
      </c>
      <c r="F41" s="480">
        <v>12.424</v>
      </c>
      <c r="G41" s="480">
        <v>12.401</v>
      </c>
      <c r="H41" s="480">
        <v>12.39</v>
      </c>
      <c r="I41" s="480">
        <v>12.391</v>
      </c>
      <c r="J41" s="58"/>
    </row>
    <row r="42" spans="1:10" ht="12.75">
      <c r="A42" s="98" t="s">
        <v>506</v>
      </c>
      <c r="B42" s="98"/>
      <c r="C42" s="261">
        <v>9.269</v>
      </c>
      <c r="D42" s="261">
        <v>9.551</v>
      </c>
      <c r="E42" s="480">
        <v>10.739</v>
      </c>
      <c r="F42" s="480">
        <v>11.117</v>
      </c>
      <c r="G42" s="480">
        <v>11.302</v>
      </c>
      <c r="H42" s="480">
        <v>11.419</v>
      </c>
      <c r="I42" s="480">
        <v>11.488</v>
      </c>
      <c r="J42" s="58"/>
    </row>
    <row r="43" spans="1:10" ht="12.75">
      <c r="A43" s="98" t="s">
        <v>60</v>
      </c>
      <c r="B43" s="98"/>
      <c r="C43" s="253">
        <v>4.816</v>
      </c>
      <c r="D43" s="253">
        <v>3.371</v>
      </c>
      <c r="E43" s="480">
        <v>3.649</v>
      </c>
      <c r="F43" s="480">
        <v>3.625</v>
      </c>
      <c r="G43" s="480">
        <v>3.845</v>
      </c>
      <c r="H43" s="480">
        <v>3.919</v>
      </c>
      <c r="I43" s="480">
        <v>4.05</v>
      </c>
      <c r="J43" s="58"/>
    </row>
    <row r="44" spans="1:10" ht="12.75">
      <c r="A44" s="98" t="s">
        <v>61</v>
      </c>
      <c r="B44" s="98"/>
      <c r="C44" s="253">
        <v>2.699</v>
      </c>
      <c r="D44" s="253">
        <v>2.894</v>
      </c>
      <c r="E44" s="480">
        <v>3.139</v>
      </c>
      <c r="F44" s="480">
        <v>3.13</v>
      </c>
      <c r="G44" s="480">
        <v>3.13</v>
      </c>
      <c r="H44" s="480">
        <v>3.128</v>
      </c>
      <c r="I44" s="480">
        <v>3.143</v>
      </c>
      <c r="J44" s="58"/>
    </row>
    <row r="45" spans="1:10" ht="12.75">
      <c r="A45" s="98" t="s">
        <v>237</v>
      </c>
      <c r="B45" s="98"/>
      <c r="C45" s="253">
        <v>1.517</v>
      </c>
      <c r="D45" s="253">
        <v>1.562</v>
      </c>
      <c r="E45" s="480">
        <v>1.756</v>
      </c>
      <c r="F45" s="480">
        <v>1.731</v>
      </c>
      <c r="G45" s="480">
        <v>1.718</v>
      </c>
      <c r="H45" s="480">
        <v>1.709</v>
      </c>
      <c r="I45" s="480">
        <v>1.708</v>
      </c>
      <c r="J45" s="58"/>
    </row>
    <row r="46" spans="1:10" ht="12.75">
      <c r="A46" s="98" t="s">
        <v>55</v>
      </c>
      <c r="B46" s="98"/>
      <c r="C46" s="253">
        <v>2.405</v>
      </c>
      <c r="D46" s="253">
        <v>2.244</v>
      </c>
      <c r="E46" s="480">
        <v>3.566</v>
      </c>
      <c r="F46" s="480">
        <v>2.649</v>
      </c>
      <c r="G46" s="480">
        <v>2.615</v>
      </c>
      <c r="H46" s="480">
        <v>2.515</v>
      </c>
      <c r="I46" s="480">
        <v>2.548</v>
      </c>
      <c r="J46" s="58"/>
    </row>
    <row r="47" spans="1:10" ht="12.75">
      <c r="A47" s="98" t="s">
        <v>56</v>
      </c>
      <c r="B47" s="98"/>
      <c r="C47" s="253">
        <v>1.595</v>
      </c>
      <c r="D47" s="253">
        <v>1.7869999999999997</v>
      </c>
      <c r="E47" s="480">
        <v>2.1086</v>
      </c>
      <c r="F47" s="480">
        <v>1.8622100000000001</v>
      </c>
      <c r="G47" s="480">
        <v>1.9223599999999998</v>
      </c>
      <c r="H47" s="480">
        <v>1.96281</v>
      </c>
      <c r="I47" s="480">
        <v>1.99418</v>
      </c>
      <c r="J47" s="58"/>
    </row>
    <row r="48" spans="1:10" ht="12.75">
      <c r="A48" s="98" t="s">
        <v>621</v>
      </c>
      <c r="B48" s="98"/>
      <c r="C48" s="258">
        <v>0</v>
      </c>
      <c r="D48" s="258">
        <v>1.102</v>
      </c>
      <c r="E48" s="480">
        <v>1.4404000000000001</v>
      </c>
      <c r="F48" s="480">
        <v>1.54579</v>
      </c>
      <c r="G48" s="480">
        <v>1.6986400000000001</v>
      </c>
      <c r="H48" s="480">
        <v>1.78719</v>
      </c>
      <c r="I48" s="480">
        <v>1.85282</v>
      </c>
      <c r="J48" s="58"/>
    </row>
    <row r="49" spans="1:10" ht="12.75">
      <c r="A49" s="98" t="s">
        <v>57</v>
      </c>
      <c r="B49" s="98"/>
      <c r="C49" s="253">
        <v>0.438</v>
      </c>
      <c r="D49" s="253">
        <v>0.541</v>
      </c>
      <c r="E49" s="480">
        <v>0.545</v>
      </c>
      <c r="F49" s="480">
        <v>0.507</v>
      </c>
      <c r="G49" s="480">
        <v>0.499</v>
      </c>
      <c r="H49" s="480">
        <v>0.498</v>
      </c>
      <c r="I49" s="480">
        <v>0.484</v>
      </c>
      <c r="J49" s="58"/>
    </row>
    <row r="50" spans="1:10" ht="12.75">
      <c r="A50" s="98" t="s">
        <v>23</v>
      </c>
      <c r="B50" s="98"/>
      <c r="C50" s="253">
        <v>0.844</v>
      </c>
      <c r="D50" s="253">
        <v>1.107</v>
      </c>
      <c r="E50" s="480">
        <v>1.119</v>
      </c>
      <c r="F50" s="480">
        <v>0.9690000000000001</v>
      </c>
      <c r="G50" s="480">
        <v>0.9790000000000001</v>
      </c>
      <c r="H50" s="480">
        <v>0.9640000000000001</v>
      </c>
      <c r="I50" s="480">
        <v>0.96</v>
      </c>
      <c r="J50" s="58"/>
    </row>
    <row r="51" spans="1:10" ht="12.75">
      <c r="A51" s="98" t="s">
        <v>16</v>
      </c>
      <c r="B51" s="98"/>
      <c r="C51" s="253">
        <v>0</v>
      </c>
      <c r="D51" s="253">
        <v>0</v>
      </c>
      <c r="E51" s="480">
        <v>0.327</v>
      </c>
      <c r="F51" s="480">
        <v>0.956</v>
      </c>
      <c r="G51" s="480">
        <v>0.629</v>
      </c>
      <c r="H51" s="480">
        <v>0.642</v>
      </c>
      <c r="I51" s="480">
        <v>1.07</v>
      </c>
      <c r="J51" s="58"/>
    </row>
    <row r="52" spans="1:10" ht="12.75">
      <c r="A52" s="98" t="s">
        <v>59</v>
      </c>
      <c r="B52" s="98"/>
      <c r="C52" s="253">
        <v>0.255</v>
      </c>
      <c r="D52" s="253">
        <v>0.26</v>
      </c>
      <c r="E52" s="480">
        <v>0.347</v>
      </c>
      <c r="F52" s="480">
        <v>0.308</v>
      </c>
      <c r="G52" s="480">
        <v>0.329</v>
      </c>
      <c r="H52" s="480">
        <v>0.333</v>
      </c>
      <c r="I52" s="480">
        <v>0.319</v>
      </c>
      <c r="J52" s="58"/>
    </row>
    <row r="53" spans="1:10" ht="12.75">
      <c r="A53" s="98" t="s">
        <v>238</v>
      </c>
      <c r="B53" s="98"/>
      <c r="C53" s="253">
        <v>0.068</v>
      </c>
      <c r="D53" s="253">
        <v>0.254</v>
      </c>
      <c r="E53" s="480">
        <v>0.057</v>
      </c>
      <c r="F53" s="480">
        <v>0.467</v>
      </c>
      <c r="G53" s="480">
        <v>0.214</v>
      </c>
      <c r="H53" s="480">
        <v>0.214</v>
      </c>
      <c r="I53" s="480">
        <v>0.214</v>
      </c>
      <c r="J53" s="58"/>
    </row>
    <row r="54" spans="1:10" ht="12.75">
      <c r="A54" s="98" t="s">
        <v>600</v>
      </c>
      <c r="B54" s="98"/>
      <c r="C54" s="253">
        <v>2.329</v>
      </c>
      <c r="D54" s="253">
        <v>2.46</v>
      </c>
      <c r="E54" s="480">
        <v>2.657</v>
      </c>
      <c r="F54" s="480">
        <v>2.626</v>
      </c>
      <c r="G54" s="480">
        <v>3.061</v>
      </c>
      <c r="H54" s="480">
        <v>3.455</v>
      </c>
      <c r="I54" s="480">
        <v>3.858</v>
      </c>
      <c r="J54" s="58"/>
    </row>
    <row r="55" spans="1:10" ht="12.75">
      <c r="A55" s="98" t="s">
        <v>105</v>
      </c>
      <c r="B55" s="98"/>
      <c r="C55" s="253">
        <v>0</v>
      </c>
      <c r="D55" s="253">
        <v>0</v>
      </c>
      <c r="E55" s="480">
        <v>0</v>
      </c>
      <c r="F55" s="480">
        <v>0</v>
      </c>
      <c r="G55" s="480">
        <v>0</v>
      </c>
      <c r="H55" s="480">
        <v>0</v>
      </c>
      <c r="I55" s="480">
        <v>0</v>
      </c>
      <c r="J55" s="58"/>
    </row>
    <row r="56" spans="1:10" ht="12.75">
      <c r="A56" s="98" t="s">
        <v>106</v>
      </c>
      <c r="B56" s="98"/>
      <c r="C56" s="253">
        <v>0</v>
      </c>
      <c r="D56" s="253">
        <v>0</v>
      </c>
      <c r="E56" s="480">
        <v>0.172</v>
      </c>
      <c r="F56" s="480">
        <v>1.615</v>
      </c>
      <c r="G56" s="480">
        <v>3.498</v>
      </c>
      <c r="H56" s="480">
        <v>5.288</v>
      </c>
      <c r="I56" s="480">
        <v>7.149</v>
      </c>
      <c r="J56" s="58"/>
    </row>
    <row r="57" spans="1:10" ht="12.75">
      <c r="A57" s="98" t="s">
        <v>793</v>
      </c>
      <c r="B57" s="98"/>
      <c r="C57" s="253">
        <v>0</v>
      </c>
      <c r="D57" s="253">
        <v>0</v>
      </c>
      <c r="E57" s="480">
        <v>-1.45</v>
      </c>
      <c r="F57" s="480">
        <v>-0.35</v>
      </c>
      <c r="G57" s="480">
        <v>-0.275</v>
      </c>
      <c r="H57" s="480">
        <v>-0.2</v>
      </c>
      <c r="I57" s="480">
        <v>-0.15</v>
      </c>
      <c r="J57" s="58"/>
    </row>
    <row r="58" spans="1:10" ht="12.75">
      <c r="A58" s="74" t="s">
        <v>848</v>
      </c>
      <c r="B58" s="74"/>
      <c r="C58" s="256">
        <f aca="true" t="shared" si="4" ref="C58:I58">SUM(C$39:C$57)</f>
        <v>54.00300000000001</v>
      </c>
      <c r="D58" s="256">
        <f>SUM(D$39:D$57)</f>
        <v>56.996999999999986</v>
      </c>
      <c r="E58" s="163">
        <f>SUM(E$39:E$57)</f>
        <v>62.35900000000001</v>
      </c>
      <c r="F58" s="163">
        <f>SUM(F$39:F$57)</f>
        <v>65.849</v>
      </c>
      <c r="G58" s="163">
        <f t="shared" si="4"/>
        <v>68.891</v>
      </c>
      <c r="H58" s="163">
        <f t="shared" si="4"/>
        <v>72.252</v>
      </c>
      <c r="I58" s="163">
        <f t="shared" si="4"/>
        <v>76.157</v>
      </c>
      <c r="J58" s="58"/>
    </row>
    <row r="59" spans="1:10" ht="15.75">
      <c r="A59" s="77" t="s">
        <v>108</v>
      </c>
      <c r="B59" s="77"/>
      <c r="C59" s="257"/>
      <c r="D59" s="257"/>
      <c r="E59" s="154"/>
      <c r="F59" s="154"/>
      <c r="G59" s="154"/>
      <c r="H59" s="154"/>
      <c r="I59" s="154"/>
      <c r="J59" s="58"/>
    </row>
    <row r="60" spans="1:10" ht="12.75">
      <c r="A60" s="98" t="s">
        <v>826</v>
      </c>
      <c r="B60" s="98"/>
      <c r="C60" s="253">
        <v>4.163</v>
      </c>
      <c r="D60" s="253">
        <v>3.804</v>
      </c>
      <c r="E60" s="480">
        <v>3.868</v>
      </c>
      <c r="F60" s="480">
        <v>4.492</v>
      </c>
      <c r="G60" s="480">
        <v>4.674</v>
      </c>
      <c r="H60" s="480">
        <v>5.575</v>
      </c>
      <c r="I60" s="480">
        <v>6.09</v>
      </c>
      <c r="J60" s="58"/>
    </row>
    <row r="61" spans="1:10" ht="12.75">
      <c r="A61" s="98" t="s">
        <v>5</v>
      </c>
      <c r="B61" s="98"/>
      <c r="C61" s="253">
        <v>12.058</v>
      </c>
      <c r="D61" s="253">
        <v>14.158</v>
      </c>
      <c r="E61" s="480">
        <v>14.479</v>
      </c>
      <c r="F61" s="480">
        <v>14.889</v>
      </c>
      <c r="G61" s="480">
        <v>14.941</v>
      </c>
      <c r="H61" s="480">
        <v>14.908</v>
      </c>
      <c r="I61" s="480">
        <v>15.135</v>
      </c>
      <c r="J61" s="58"/>
    </row>
    <row r="62" spans="1:10" ht="12.75">
      <c r="A62" s="98" t="s">
        <v>827</v>
      </c>
      <c r="B62" s="98"/>
      <c r="C62" s="253">
        <v>32.125</v>
      </c>
      <c r="D62" s="253">
        <v>40.441</v>
      </c>
      <c r="E62" s="480">
        <v>35.828</v>
      </c>
      <c r="F62" s="480">
        <v>34.997</v>
      </c>
      <c r="G62" s="480">
        <v>40.189</v>
      </c>
      <c r="H62" s="480">
        <v>40.789</v>
      </c>
      <c r="I62" s="480">
        <v>41.307</v>
      </c>
      <c r="J62" s="58"/>
    </row>
    <row r="63" spans="1:14" ht="12.75">
      <c r="A63" s="98" t="s">
        <v>946</v>
      </c>
      <c r="B63" s="98"/>
      <c r="C63" s="253">
        <v>13.581</v>
      </c>
      <c r="D63" s="253">
        <v>12.964</v>
      </c>
      <c r="E63" s="480">
        <v>8.5</v>
      </c>
      <c r="F63" s="480">
        <v>9.5</v>
      </c>
      <c r="G63" s="480">
        <v>10</v>
      </c>
      <c r="H63" s="480">
        <v>10</v>
      </c>
      <c r="I63" s="480">
        <v>10</v>
      </c>
      <c r="J63" s="58"/>
      <c r="K63" s="473"/>
      <c r="L63" s="473"/>
      <c r="M63" s="473"/>
      <c r="N63" s="473"/>
    </row>
    <row r="64" spans="1:10" ht="12.75">
      <c r="A64" s="98" t="s">
        <v>828</v>
      </c>
      <c r="B64" s="98"/>
      <c r="C64" s="253">
        <v>3.637</v>
      </c>
      <c r="D64" s="253">
        <v>5.581</v>
      </c>
      <c r="E64" s="152">
        <v>14.293</v>
      </c>
      <c r="F64" s="152">
        <v>15.254</v>
      </c>
      <c r="G64" s="152">
        <v>16.816</v>
      </c>
      <c r="H64" s="152">
        <v>18.452</v>
      </c>
      <c r="I64" s="152">
        <v>20.096</v>
      </c>
      <c r="J64" s="58"/>
    </row>
    <row r="65" spans="1:14" ht="12.75">
      <c r="A65" s="98" t="s">
        <v>4</v>
      </c>
      <c r="B65" s="98"/>
      <c r="C65" s="253">
        <v>8.155999999999999</v>
      </c>
      <c r="D65" s="253">
        <v>8.114999999999998</v>
      </c>
      <c r="E65" s="480">
        <v>10.478000000000002</v>
      </c>
      <c r="F65" s="480">
        <v>11.053999999999998</v>
      </c>
      <c r="G65" s="480">
        <v>11.553</v>
      </c>
      <c r="H65" s="480">
        <v>11.7</v>
      </c>
      <c r="I65" s="480">
        <v>12.358</v>
      </c>
      <c r="J65" s="58"/>
      <c r="K65" s="58"/>
      <c r="L65" s="58"/>
      <c r="M65" s="58"/>
      <c r="N65" s="58"/>
    </row>
    <row r="66" spans="1:14" ht="12.75">
      <c r="A66" s="98" t="s">
        <v>829</v>
      </c>
      <c r="B66" s="98"/>
      <c r="C66" s="253">
        <v>0.826</v>
      </c>
      <c r="D66" s="253">
        <v>0.964</v>
      </c>
      <c r="E66" s="480">
        <v>1.01</v>
      </c>
      <c r="F66" s="480">
        <v>1.079</v>
      </c>
      <c r="G66" s="480">
        <v>1.177</v>
      </c>
      <c r="H66" s="480">
        <v>1.195</v>
      </c>
      <c r="I66" s="480">
        <v>1.228</v>
      </c>
      <c r="J66" s="58"/>
      <c r="K66" s="58"/>
      <c r="L66" s="58"/>
      <c r="M66" s="58"/>
      <c r="N66" s="58"/>
    </row>
    <row r="67" spans="1:10" ht="12.75">
      <c r="A67" s="98" t="s">
        <v>830</v>
      </c>
      <c r="B67" s="98"/>
      <c r="C67" s="253">
        <v>1.527</v>
      </c>
      <c r="D67" s="253">
        <v>1.663</v>
      </c>
      <c r="E67" s="480">
        <v>1.441</v>
      </c>
      <c r="F67" s="480">
        <v>1.453</v>
      </c>
      <c r="G67" s="480">
        <v>1.501</v>
      </c>
      <c r="H67" s="480">
        <v>1.535</v>
      </c>
      <c r="I67" s="480">
        <v>1.554</v>
      </c>
      <c r="J67" s="58"/>
    </row>
    <row r="68" spans="1:10" ht="12.75">
      <c r="A68" s="98" t="s">
        <v>111</v>
      </c>
      <c r="B68" s="98"/>
      <c r="C68" s="253">
        <v>95.598</v>
      </c>
      <c r="D68" s="253">
        <v>103.329</v>
      </c>
      <c r="E68" s="480">
        <v>107.895</v>
      </c>
      <c r="F68" s="480">
        <v>110.398</v>
      </c>
      <c r="G68" s="480">
        <v>112.779</v>
      </c>
      <c r="H68" s="480">
        <v>114.501</v>
      </c>
      <c r="I68" s="480">
        <v>116.943</v>
      </c>
      <c r="J68" s="58"/>
    </row>
    <row r="69" spans="1:10" ht="12.75">
      <c r="A69" s="98" t="s">
        <v>831</v>
      </c>
      <c r="B69" s="98"/>
      <c r="C69" s="253">
        <v>7.001</v>
      </c>
      <c r="D69" s="253">
        <v>8.065</v>
      </c>
      <c r="E69" s="480">
        <v>8.82</v>
      </c>
      <c r="F69" s="480">
        <v>9.231</v>
      </c>
      <c r="G69" s="480">
        <v>9.635</v>
      </c>
      <c r="H69" s="480">
        <v>9.976</v>
      </c>
      <c r="I69" s="480">
        <v>10.292</v>
      </c>
      <c r="J69" s="58"/>
    </row>
    <row r="70" spans="1:10" ht="12.75">
      <c r="A70" s="98" t="s">
        <v>833</v>
      </c>
      <c r="B70" s="98"/>
      <c r="C70" s="253">
        <v>1.677</v>
      </c>
      <c r="D70" s="253">
        <v>1.751</v>
      </c>
      <c r="E70" s="480">
        <v>2.308</v>
      </c>
      <c r="F70" s="480">
        <v>2.409</v>
      </c>
      <c r="G70" s="480">
        <v>2.569</v>
      </c>
      <c r="H70" s="480">
        <v>2.587</v>
      </c>
      <c r="I70" s="480">
        <v>3.139</v>
      </c>
      <c r="J70" s="58"/>
    </row>
    <row r="71" spans="1:13" ht="12.75">
      <c r="A71" s="98" t="s">
        <v>112</v>
      </c>
      <c r="B71" s="98"/>
      <c r="C71" s="253">
        <v>0</v>
      </c>
      <c r="D71" s="253">
        <v>0</v>
      </c>
      <c r="E71" s="480">
        <v>0.184</v>
      </c>
      <c r="F71" s="480">
        <v>0.785</v>
      </c>
      <c r="G71" s="480">
        <v>1.562</v>
      </c>
      <c r="H71" s="480">
        <v>2.462</v>
      </c>
      <c r="I71" s="480">
        <v>3.325</v>
      </c>
      <c r="J71" s="58"/>
      <c r="L71" s="58"/>
      <c r="M71" s="58"/>
    </row>
    <row r="72" spans="1:10" ht="12.75">
      <c r="A72" s="98" t="s">
        <v>832</v>
      </c>
      <c r="B72" s="98"/>
      <c r="C72" s="253">
        <v>0</v>
      </c>
      <c r="D72" s="253">
        <v>0</v>
      </c>
      <c r="E72" s="480">
        <v>-0.485</v>
      </c>
      <c r="F72" s="480">
        <v>-0.485</v>
      </c>
      <c r="G72" s="480">
        <v>-0.485</v>
      </c>
      <c r="H72" s="480">
        <v>-0.485</v>
      </c>
      <c r="I72" s="480">
        <v>-0.485</v>
      </c>
      <c r="J72" s="58"/>
    </row>
    <row r="73" spans="1:10" ht="12.75">
      <c r="A73" s="74" t="s">
        <v>113</v>
      </c>
      <c r="B73" s="74"/>
      <c r="C73" s="256">
        <f aca="true" t="shared" si="5" ref="C73:I73">SUM(C$60:C$72)</f>
        <v>180.349</v>
      </c>
      <c r="D73" s="256">
        <f t="shared" si="5"/>
        <v>200.835</v>
      </c>
      <c r="E73" s="163">
        <f t="shared" si="5"/>
        <v>208.61899999999997</v>
      </c>
      <c r="F73" s="163">
        <f t="shared" si="5"/>
        <v>215.05599999999995</v>
      </c>
      <c r="G73" s="163">
        <f t="shared" si="5"/>
        <v>226.91099999999997</v>
      </c>
      <c r="H73" s="163">
        <f t="shared" si="5"/>
        <v>233.19499999999996</v>
      </c>
      <c r="I73" s="163">
        <f t="shared" si="5"/>
        <v>240.982</v>
      </c>
      <c r="J73" s="58"/>
    </row>
    <row r="74" spans="1:10" ht="12.75">
      <c r="A74" s="98" t="s">
        <v>817</v>
      </c>
      <c r="B74" s="98"/>
      <c r="C74" s="253">
        <v>3.444</v>
      </c>
      <c r="D74" s="253">
        <v>3.53</v>
      </c>
      <c r="E74" s="480">
        <v>3.702</v>
      </c>
      <c r="F74" s="480">
        <v>3.883</v>
      </c>
      <c r="G74" s="480">
        <v>4.073</v>
      </c>
      <c r="H74" s="480">
        <v>4.273</v>
      </c>
      <c r="I74" s="480">
        <v>4.482</v>
      </c>
      <c r="J74" s="58"/>
    </row>
    <row r="75" spans="1:10" ht="12.75">
      <c r="A75" s="98" t="s">
        <v>818</v>
      </c>
      <c r="B75" s="98"/>
      <c r="C75" s="253">
        <v>8.075</v>
      </c>
      <c r="D75" s="253">
        <v>10.895</v>
      </c>
      <c r="E75" s="480">
        <v>11.936</v>
      </c>
      <c r="F75" s="480">
        <v>11.809</v>
      </c>
      <c r="G75" s="480">
        <v>10.823</v>
      </c>
      <c r="H75" s="480">
        <v>10.711</v>
      </c>
      <c r="I75" s="480">
        <v>10.577</v>
      </c>
      <c r="J75" s="58"/>
    </row>
    <row r="76" spans="1:10" ht="12.75">
      <c r="A76" s="98" t="s">
        <v>823</v>
      </c>
      <c r="B76" s="98"/>
      <c r="C76" s="253">
        <v>0.966</v>
      </c>
      <c r="D76" s="253">
        <v>1.292</v>
      </c>
      <c r="E76" s="480">
        <v>1.205</v>
      </c>
      <c r="F76" s="480">
        <v>1.194</v>
      </c>
      <c r="G76" s="480">
        <v>1.188</v>
      </c>
      <c r="H76" s="480">
        <v>1.185</v>
      </c>
      <c r="I76" s="480">
        <v>1.181</v>
      </c>
      <c r="J76" s="58"/>
    </row>
    <row r="77" spans="1:11" ht="12.75">
      <c r="A77" s="98" t="s">
        <v>824</v>
      </c>
      <c r="B77" s="98"/>
      <c r="C77" s="253">
        <v>7.507</v>
      </c>
      <c r="D77" s="253">
        <v>7.75</v>
      </c>
      <c r="E77" s="480">
        <v>7.75</v>
      </c>
      <c r="F77" s="480">
        <v>7.75</v>
      </c>
      <c r="G77" s="480">
        <v>7.75</v>
      </c>
      <c r="H77" s="480">
        <v>7.75</v>
      </c>
      <c r="I77" s="480">
        <v>7.75</v>
      </c>
      <c r="J77" s="58"/>
      <c r="K77" s="474"/>
    </row>
    <row r="78" spans="1:10" ht="12.75">
      <c r="A78" s="98" t="s">
        <v>825</v>
      </c>
      <c r="B78" s="98"/>
      <c r="C78" s="253">
        <v>34.391000000000005</v>
      </c>
      <c r="D78" s="253">
        <v>38.36</v>
      </c>
      <c r="E78" s="480">
        <v>40.868</v>
      </c>
      <c r="F78" s="480">
        <v>44.922</v>
      </c>
      <c r="G78" s="480">
        <v>56.446</v>
      </c>
      <c r="H78" s="480">
        <v>61.934</v>
      </c>
      <c r="I78" s="480">
        <v>68.615</v>
      </c>
      <c r="J78" s="58"/>
    </row>
    <row r="79" spans="1:10" ht="12.75">
      <c r="A79" s="98" t="s">
        <v>820</v>
      </c>
      <c r="B79" s="98"/>
      <c r="C79" s="253">
        <v>17.418</v>
      </c>
      <c r="D79" s="253">
        <v>20.484</v>
      </c>
      <c r="E79" s="480">
        <v>21.982</v>
      </c>
      <c r="F79" s="480">
        <v>23.425</v>
      </c>
      <c r="G79" s="480">
        <v>24.902</v>
      </c>
      <c r="H79" s="480">
        <v>26.453</v>
      </c>
      <c r="I79" s="480">
        <v>28.073</v>
      </c>
      <c r="J79" s="58"/>
    </row>
    <row r="80" spans="1:10" ht="12.75">
      <c r="A80" s="98" t="s">
        <v>819</v>
      </c>
      <c r="B80" s="98"/>
      <c r="C80" s="253">
        <v>7.161</v>
      </c>
      <c r="D80" s="253">
        <v>8.257</v>
      </c>
      <c r="E80" s="480">
        <v>8.332</v>
      </c>
      <c r="F80" s="480">
        <v>8.293</v>
      </c>
      <c r="G80" s="480">
        <v>8.227</v>
      </c>
      <c r="H80" s="480">
        <v>8.147</v>
      </c>
      <c r="I80" s="480">
        <v>8.067</v>
      </c>
      <c r="J80" s="58"/>
    </row>
    <row r="81" spans="1:10" ht="12.75">
      <c r="A81" s="98" t="s">
        <v>821</v>
      </c>
      <c r="B81" s="98"/>
      <c r="C81" s="262">
        <v>4.56</v>
      </c>
      <c r="D81" s="262">
        <v>4.753</v>
      </c>
      <c r="E81" s="480">
        <v>5.075</v>
      </c>
      <c r="F81" s="480">
        <v>5.631</v>
      </c>
      <c r="G81" s="480">
        <v>5.422</v>
      </c>
      <c r="H81" s="480">
        <v>5.051</v>
      </c>
      <c r="I81" s="480">
        <v>4.923</v>
      </c>
      <c r="J81" s="58"/>
    </row>
    <row r="82" spans="1:10" ht="12.75">
      <c r="A82" s="74" t="s">
        <v>114</v>
      </c>
      <c r="B82" s="74"/>
      <c r="C82" s="256">
        <f aca="true" t="shared" si="6" ref="C82:I82">SUM(C$74:C$81)</f>
        <v>83.522</v>
      </c>
      <c r="D82" s="256">
        <f t="shared" si="6"/>
        <v>95.32100000000001</v>
      </c>
      <c r="E82" s="163">
        <f t="shared" si="6"/>
        <v>100.85000000000001</v>
      </c>
      <c r="F82" s="163">
        <f t="shared" si="6"/>
        <v>106.90699999999998</v>
      </c>
      <c r="G82" s="163">
        <f t="shared" si="6"/>
        <v>118.831</v>
      </c>
      <c r="H82" s="163">
        <f t="shared" si="6"/>
        <v>125.504</v>
      </c>
      <c r="I82" s="163">
        <f t="shared" si="6"/>
        <v>133.668</v>
      </c>
      <c r="J82" s="58"/>
    </row>
    <row r="83" spans="1:10" ht="12.75">
      <c r="A83" s="74" t="s">
        <v>834</v>
      </c>
      <c r="B83" s="74"/>
      <c r="C83" s="263">
        <v>96.82699999999998</v>
      </c>
      <c r="D83" s="263">
        <v>105.514</v>
      </c>
      <c r="E83" s="485">
        <v>107.76899999999996</v>
      </c>
      <c r="F83" s="485">
        <v>108.14899999999997</v>
      </c>
      <c r="G83" s="485">
        <v>108.08</v>
      </c>
      <c r="H83" s="485">
        <v>107.69099999999996</v>
      </c>
      <c r="I83" s="485">
        <v>107.314</v>
      </c>
      <c r="J83" s="58"/>
    </row>
    <row r="84" spans="1:10" ht="12.75">
      <c r="A84" s="74" t="s">
        <v>884</v>
      </c>
      <c r="B84" s="74"/>
      <c r="C84" s="120"/>
      <c r="D84" s="120"/>
      <c r="E84" s="321"/>
      <c r="F84" s="321"/>
      <c r="G84" s="321"/>
      <c r="H84" s="321"/>
      <c r="I84" s="321"/>
      <c r="J84" s="58"/>
    </row>
    <row r="85" spans="1:10" ht="12.75">
      <c r="A85" s="98" t="s">
        <v>885</v>
      </c>
      <c r="B85" s="98"/>
      <c r="C85" s="253">
        <v>9.83</v>
      </c>
      <c r="D85" s="253">
        <v>12.973</v>
      </c>
      <c r="E85" s="480">
        <v>14.212</v>
      </c>
      <c r="F85" s="480">
        <v>17.44</v>
      </c>
      <c r="G85" s="480">
        <v>20.638</v>
      </c>
      <c r="H85" s="480">
        <v>24.175</v>
      </c>
      <c r="I85" s="480">
        <v>28.024</v>
      </c>
      <c r="J85" s="58"/>
    </row>
    <row r="86" spans="1:10" ht="12.75">
      <c r="A86" s="98" t="s">
        <v>886</v>
      </c>
      <c r="B86" s="98"/>
      <c r="C86" s="253">
        <v>2.0490000000000004</v>
      </c>
      <c r="D86" s="253">
        <v>2.103</v>
      </c>
      <c r="E86" s="480">
        <v>2.242</v>
      </c>
      <c r="F86" s="480">
        <v>1.977</v>
      </c>
      <c r="G86" s="480">
        <v>2.096</v>
      </c>
      <c r="H86" s="480">
        <v>2.167</v>
      </c>
      <c r="I86" s="480">
        <v>2.194</v>
      </c>
      <c r="J86" s="58"/>
    </row>
    <row r="87" spans="1:10" ht="12.75">
      <c r="A87" s="98" t="s">
        <v>887</v>
      </c>
      <c r="B87" s="98"/>
      <c r="C87" s="253">
        <v>0.436</v>
      </c>
      <c r="D87" s="253">
        <v>0.385</v>
      </c>
      <c r="E87" s="480">
        <v>0.431</v>
      </c>
      <c r="F87" s="480">
        <v>0.487</v>
      </c>
      <c r="G87" s="480">
        <v>0.562</v>
      </c>
      <c r="H87" s="480">
        <v>0.642</v>
      </c>
      <c r="I87" s="480">
        <v>0.725</v>
      </c>
      <c r="J87" s="58"/>
    </row>
    <row r="88" spans="1:10" s="108" customFormat="1" ht="12.75">
      <c r="A88" s="98" t="s">
        <v>275</v>
      </c>
      <c r="B88" s="98"/>
      <c r="C88" s="253">
        <v>-0.052</v>
      </c>
      <c r="D88" s="253">
        <v>0.017</v>
      </c>
      <c r="E88" s="480">
        <v>0.15599999999999992</v>
      </c>
      <c r="F88" s="480">
        <v>0.17</v>
      </c>
      <c r="G88" s="480">
        <v>0.19599999999999995</v>
      </c>
      <c r="H88" s="480">
        <v>0.22100000000000009</v>
      </c>
      <c r="I88" s="480">
        <v>0.245</v>
      </c>
      <c r="J88" s="58"/>
    </row>
    <row r="89" spans="1:10" ht="12.75">
      <c r="A89" s="98" t="s">
        <v>888</v>
      </c>
      <c r="B89" s="98"/>
      <c r="C89" s="253">
        <v>1.313</v>
      </c>
      <c r="D89" s="253">
        <v>-0.995</v>
      </c>
      <c r="E89" s="480">
        <v>1.037</v>
      </c>
      <c r="F89" s="480">
        <v>1.321</v>
      </c>
      <c r="G89" s="480">
        <v>1.569</v>
      </c>
      <c r="H89" s="480">
        <v>1.836</v>
      </c>
      <c r="I89" s="480">
        <v>2.114</v>
      </c>
      <c r="J89" s="58"/>
    </row>
    <row r="90" spans="1:10" ht="12.75">
      <c r="A90" s="98" t="s">
        <v>889</v>
      </c>
      <c r="B90" s="98"/>
      <c r="C90" s="253">
        <v>0.707</v>
      </c>
      <c r="D90" s="253">
        <v>0.237</v>
      </c>
      <c r="E90" s="480">
        <v>0.326</v>
      </c>
      <c r="F90" s="480">
        <v>0.419</v>
      </c>
      <c r="G90" s="480">
        <v>0.494</v>
      </c>
      <c r="H90" s="480">
        <v>0.574</v>
      </c>
      <c r="I90" s="480">
        <v>0.655</v>
      </c>
      <c r="J90" s="58"/>
    </row>
    <row r="91" spans="1:10" ht="12.75">
      <c r="A91" s="74" t="s">
        <v>893</v>
      </c>
      <c r="B91" s="74"/>
      <c r="C91" s="478"/>
      <c r="D91" s="478"/>
      <c r="E91" s="370"/>
      <c r="F91" s="370"/>
      <c r="G91" s="370"/>
      <c r="H91" s="370"/>
      <c r="I91" s="370"/>
      <c r="J91" s="58"/>
    </row>
    <row r="92" spans="1:10" ht="12.75">
      <c r="A92" s="74" t="s">
        <v>835</v>
      </c>
      <c r="B92" s="74"/>
      <c r="C92" s="263">
        <v>41.898</v>
      </c>
      <c r="D92" s="263">
        <v>46.11</v>
      </c>
      <c r="E92" s="485">
        <v>48.618</v>
      </c>
      <c r="F92" s="485">
        <v>52.672</v>
      </c>
      <c r="G92" s="485">
        <v>64.196</v>
      </c>
      <c r="H92" s="485">
        <v>69.684</v>
      </c>
      <c r="I92" s="485">
        <v>76.365</v>
      </c>
      <c r="J92" s="58"/>
    </row>
    <row r="93" spans="1:10" ht="12.75">
      <c r="A93" s="98" t="s">
        <v>836</v>
      </c>
      <c r="B93" s="98"/>
      <c r="C93" s="253">
        <v>35.892</v>
      </c>
      <c r="D93" s="253">
        <v>37.336</v>
      </c>
      <c r="E93" s="480">
        <v>37.793</v>
      </c>
      <c r="F93" s="480">
        <v>39.998</v>
      </c>
      <c r="G93" s="480">
        <v>49.295</v>
      </c>
      <c r="H93" s="480">
        <v>53.949</v>
      </c>
      <c r="I93" s="480">
        <v>58.814</v>
      </c>
      <c r="J93" s="58"/>
    </row>
    <row r="94" spans="1:10" ht="12.75">
      <c r="A94" s="98" t="s">
        <v>838</v>
      </c>
      <c r="B94" s="98"/>
      <c r="C94" s="253">
        <v>0.913</v>
      </c>
      <c r="D94" s="253">
        <v>0.409</v>
      </c>
      <c r="E94" s="480">
        <v>0.649</v>
      </c>
      <c r="F94" s="480">
        <v>0.757</v>
      </c>
      <c r="G94" s="480">
        <v>0.881</v>
      </c>
      <c r="H94" s="480">
        <v>1.032</v>
      </c>
      <c r="I94" s="480">
        <v>1.207</v>
      </c>
      <c r="J94" s="58"/>
    </row>
    <row r="95" spans="1:10" ht="12.75">
      <c r="A95" s="74" t="s">
        <v>636</v>
      </c>
      <c r="B95" s="74"/>
      <c r="C95" s="263">
        <v>36.805</v>
      </c>
      <c r="D95" s="263">
        <v>37.745</v>
      </c>
      <c r="E95" s="485">
        <v>38.442</v>
      </c>
      <c r="F95" s="485">
        <v>40.755</v>
      </c>
      <c r="G95" s="485">
        <v>50.176</v>
      </c>
      <c r="H95" s="485">
        <v>54.980999999999995</v>
      </c>
      <c r="I95" s="485">
        <v>60.021</v>
      </c>
      <c r="J95" s="58"/>
    </row>
    <row r="96" spans="1:10" ht="12.75">
      <c r="A96" s="98" t="s">
        <v>851</v>
      </c>
      <c r="B96" s="98"/>
      <c r="C96" s="253">
        <v>44.272</v>
      </c>
      <c r="D96" s="253">
        <v>50.698</v>
      </c>
      <c r="E96" s="480">
        <v>48.872</v>
      </c>
      <c r="F96" s="480">
        <v>49.257</v>
      </c>
      <c r="G96" s="480">
        <v>55.975</v>
      </c>
      <c r="H96" s="480">
        <v>58.127</v>
      </c>
      <c r="I96" s="480">
        <v>60.401</v>
      </c>
      <c r="J96" s="58"/>
    </row>
    <row r="97" spans="1:10" ht="12.75">
      <c r="A97" s="74" t="s">
        <v>839</v>
      </c>
      <c r="B97" s="74"/>
      <c r="C97" s="263">
        <v>-7.466999999999999</v>
      </c>
      <c r="D97" s="263">
        <v>-12.953</v>
      </c>
      <c r="E97" s="485">
        <v>-10.43</v>
      </c>
      <c r="F97" s="485">
        <v>-8.502000000000002</v>
      </c>
      <c r="G97" s="485">
        <v>-5.7989999999999995</v>
      </c>
      <c r="H97" s="485">
        <v>-3.146000000000008</v>
      </c>
      <c r="I97" s="485">
        <v>-0.38000000000000256</v>
      </c>
      <c r="J97" s="58"/>
    </row>
    <row r="98" spans="1:10" ht="12.75">
      <c r="A98" s="98" t="s">
        <v>840</v>
      </c>
      <c r="B98" s="98"/>
      <c r="C98" s="253">
        <v>11.576</v>
      </c>
      <c r="D98" s="253">
        <v>12.934</v>
      </c>
      <c r="E98" s="480">
        <v>15.637</v>
      </c>
      <c r="F98" s="480">
        <v>18.593</v>
      </c>
      <c r="G98" s="480">
        <v>21.87</v>
      </c>
      <c r="H98" s="480">
        <v>25.498</v>
      </c>
      <c r="I98" s="480">
        <v>29.422</v>
      </c>
      <c r="J98" s="58"/>
    </row>
    <row r="99" spans="1:10" ht="12.75">
      <c r="A99" s="74" t="s">
        <v>602</v>
      </c>
      <c r="B99" s="74"/>
      <c r="C99" s="263">
        <v>4.109000000000002</v>
      </c>
      <c r="D99" s="263">
        <v>-0.019</v>
      </c>
      <c r="E99" s="485">
        <v>5.207000000000001</v>
      </c>
      <c r="F99" s="485">
        <v>10.090999999999998</v>
      </c>
      <c r="G99" s="485">
        <v>16.071</v>
      </c>
      <c r="H99" s="485">
        <v>22.351999999999993</v>
      </c>
      <c r="I99" s="485">
        <v>29.041999999999998</v>
      </c>
      <c r="J99" s="58"/>
    </row>
    <row r="100" spans="1:10" ht="15.75">
      <c r="A100" s="77" t="s">
        <v>822</v>
      </c>
      <c r="B100" s="77"/>
      <c r="C100" s="257"/>
      <c r="D100" s="257"/>
      <c r="E100" s="370"/>
      <c r="F100" s="370"/>
      <c r="G100" s="370"/>
      <c r="H100" s="370"/>
      <c r="I100" s="370"/>
      <c r="J100" s="58"/>
    </row>
    <row r="101" spans="1:10" ht="12.75">
      <c r="A101" s="98" t="s">
        <v>6</v>
      </c>
      <c r="B101" s="98"/>
      <c r="C101" s="253">
        <v>31.163</v>
      </c>
      <c r="D101" s="253">
        <v>33.192</v>
      </c>
      <c r="E101" s="155">
        <v>33.378</v>
      </c>
      <c r="F101" s="155">
        <v>35.564</v>
      </c>
      <c r="G101" s="155">
        <v>44.813</v>
      </c>
      <c r="H101" s="155">
        <v>49.723</v>
      </c>
      <c r="I101" s="155">
        <v>55.059</v>
      </c>
      <c r="J101" s="58"/>
    </row>
    <row r="102" spans="1:10" ht="12.75">
      <c r="A102" s="98" t="s">
        <v>7</v>
      </c>
      <c r="B102" s="98"/>
      <c r="C102" s="253">
        <v>10.735</v>
      </c>
      <c r="D102" s="253">
        <v>12.918</v>
      </c>
      <c r="E102" s="155">
        <v>15.24</v>
      </c>
      <c r="F102" s="155">
        <v>17.108</v>
      </c>
      <c r="G102" s="155">
        <v>19.383</v>
      </c>
      <c r="H102" s="155">
        <v>19.961</v>
      </c>
      <c r="I102" s="155">
        <v>21.306</v>
      </c>
      <c r="J102" s="58"/>
    </row>
    <row r="103" spans="1:10" ht="15.75">
      <c r="A103" s="77" t="s">
        <v>115</v>
      </c>
      <c r="B103" s="77"/>
      <c r="C103" s="257"/>
      <c r="D103" s="257"/>
      <c r="E103" s="71"/>
      <c r="F103" s="71"/>
      <c r="G103" s="71"/>
      <c r="H103" s="71"/>
      <c r="I103" s="71"/>
      <c r="J103" s="58"/>
    </row>
    <row r="104" spans="1:10" ht="12.75">
      <c r="A104" s="98" t="s">
        <v>134</v>
      </c>
      <c r="B104" s="98"/>
      <c r="C104" s="264">
        <v>53.477</v>
      </c>
      <c r="D104" s="264">
        <v>56.905</v>
      </c>
      <c r="E104" s="155">
        <v>56.058</v>
      </c>
      <c r="F104" s="155">
        <v>57.415</v>
      </c>
      <c r="G104" s="155">
        <v>59.268</v>
      </c>
      <c r="H104" s="155">
        <v>61.893</v>
      </c>
      <c r="I104" s="155">
        <v>65.084</v>
      </c>
      <c r="J104" s="58"/>
    </row>
    <row r="105" spans="1:10" ht="12.75">
      <c r="A105" s="98" t="s">
        <v>22</v>
      </c>
      <c r="B105" s="98"/>
      <c r="C105" s="264">
        <v>0.636</v>
      </c>
      <c r="D105" s="264">
        <v>0.733</v>
      </c>
      <c r="E105" s="155">
        <v>0.71</v>
      </c>
      <c r="F105" s="155">
        <v>0.738</v>
      </c>
      <c r="G105" s="155">
        <v>0.7560000000000001</v>
      </c>
      <c r="H105" s="155">
        <v>0.7709999999999999</v>
      </c>
      <c r="I105" s="155">
        <v>0.7829999999999999</v>
      </c>
      <c r="J105" s="58"/>
    </row>
    <row r="106" spans="1:10" ht="12.75">
      <c r="A106" s="98" t="s">
        <v>17</v>
      </c>
      <c r="B106" s="98"/>
      <c r="C106" s="264">
        <v>0</v>
      </c>
      <c r="D106" s="264">
        <v>0</v>
      </c>
      <c r="E106" s="155">
        <v>0.088</v>
      </c>
      <c r="F106" s="155">
        <v>0.414</v>
      </c>
      <c r="G106" s="155">
        <v>0.846</v>
      </c>
      <c r="H106" s="155">
        <v>1.044</v>
      </c>
      <c r="I106" s="155">
        <v>1.577</v>
      </c>
      <c r="J106" s="58"/>
    </row>
    <row r="107" spans="1:10" ht="12.75">
      <c r="A107" s="98" t="s">
        <v>135</v>
      </c>
      <c r="B107" s="98"/>
      <c r="C107" s="264">
        <v>1.095</v>
      </c>
      <c r="D107" s="264">
        <v>1.097</v>
      </c>
      <c r="E107" s="155">
        <v>1.215</v>
      </c>
      <c r="F107" s="155">
        <v>1.203</v>
      </c>
      <c r="G107" s="155">
        <v>1.216</v>
      </c>
      <c r="H107" s="155">
        <v>1.236</v>
      </c>
      <c r="I107" s="155">
        <v>1.214</v>
      </c>
      <c r="J107" s="58"/>
    </row>
    <row r="108" spans="1:10" ht="12.75">
      <c r="A108" s="98" t="s">
        <v>846</v>
      </c>
      <c r="B108" s="98"/>
      <c r="C108" s="264">
        <v>2.58</v>
      </c>
      <c r="D108" s="264">
        <v>2.344</v>
      </c>
      <c r="E108" s="155">
        <v>2.647</v>
      </c>
      <c r="F108" s="155">
        <v>2.65</v>
      </c>
      <c r="G108" s="155">
        <v>2.864</v>
      </c>
      <c r="H108" s="155">
        <v>2.989</v>
      </c>
      <c r="I108" s="155">
        <v>3.027</v>
      </c>
      <c r="J108" s="58"/>
    </row>
    <row r="109" spans="1:10" ht="12.75">
      <c r="A109" s="98" t="s">
        <v>847</v>
      </c>
      <c r="B109" s="98"/>
      <c r="C109" s="264">
        <v>0.423</v>
      </c>
      <c r="D109" s="264">
        <v>0.898</v>
      </c>
      <c r="E109" s="155">
        <v>0.489</v>
      </c>
      <c r="F109" s="155">
        <v>0.468</v>
      </c>
      <c r="G109" s="155">
        <v>0.472</v>
      </c>
      <c r="H109" s="155">
        <v>0.475</v>
      </c>
      <c r="I109" s="155">
        <v>0.476</v>
      </c>
      <c r="J109" s="58"/>
    </row>
    <row r="110" spans="1:10" ht="12.75">
      <c r="A110" s="74" t="s">
        <v>849</v>
      </c>
      <c r="B110" s="74"/>
      <c r="C110" s="256">
        <f aca="true" t="shared" si="7" ref="C110:I110">SUM(C$104:C$109)</f>
        <v>58.211</v>
      </c>
      <c r="D110" s="256">
        <f>SUM(D$104:D$109)</f>
        <v>61.977000000000004</v>
      </c>
      <c r="E110" s="163">
        <f>SUM(E$104:E$109)</f>
        <v>61.207</v>
      </c>
      <c r="F110" s="163">
        <f t="shared" si="7"/>
        <v>62.888000000000005</v>
      </c>
      <c r="G110" s="163">
        <f t="shared" si="7"/>
        <v>65.422</v>
      </c>
      <c r="H110" s="163">
        <f t="shared" si="7"/>
        <v>68.408</v>
      </c>
      <c r="I110" s="163">
        <f t="shared" si="7"/>
        <v>72.161</v>
      </c>
      <c r="J110" s="58"/>
    </row>
    <row r="111" spans="1:10" ht="12.75">
      <c r="A111" s="98" t="s">
        <v>175</v>
      </c>
      <c r="B111" s="98"/>
      <c r="C111" s="264">
        <v>3.665</v>
      </c>
      <c r="D111" s="264">
        <v>4.307</v>
      </c>
      <c r="E111" s="155">
        <v>4.942</v>
      </c>
      <c r="F111" s="155">
        <v>5.134</v>
      </c>
      <c r="G111" s="155">
        <v>5.473</v>
      </c>
      <c r="H111" s="155">
        <v>5.849</v>
      </c>
      <c r="I111" s="155">
        <v>6.218</v>
      </c>
      <c r="J111" s="58"/>
    </row>
    <row r="112" spans="1:10" ht="12.75">
      <c r="A112" s="98" t="s">
        <v>176</v>
      </c>
      <c r="B112" s="98"/>
      <c r="C112" s="264">
        <v>0.604</v>
      </c>
      <c r="D112" s="264">
        <v>0.675</v>
      </c>
      <c r="E112" s="155">
        <v>0.716</v>
      </c>
      <c r="F112" s="155">
        <v>0.741</v>
      </c>
      <c r="G112" s="155">
        <v>0.78</v>
      </c>
      <c r="H112" s="155">
        <v>0.822</v>
      </c>
      <c r="I112" s="155">
        <v>0.861</v>
      </c>
      <c r="J112" s="58"/>
    </row>
    <row r="113" spans="1:10" ht="12.75">
      <c r="A113" s="98" t="s">
        <v>850</v>
      </c>
      <c r="B113" s="98"/>
      <c r="C113" s="265">
        <v>2.303</v>
      </c>
      <c r="D113" s="265">
        <v>-0.932</v>
      </c>
      <c r="E113" s="155">
        <v>1.38</v>
      </c>
      <c r="F113" s="155">
        <v>1.619</v>
      </c>
      <c r="G113" s="155">
        <v>1.869</v>
      </c>
      <c r="H113" s="155">
        <v>2.123</v>
      </c>
      <c r="I113" s="155">
        <v>2.398</v>
      </c>
      <c r="J113" s="58"/>
    </row>
    <row r="114" spans="1:10" ht="12.75">
      <c r="A114" s="74" t="s">
        <v>184</v>
      </c>
      <c r="B114" s="74"/>
      <c r="C114" s="263">
        <v>6.511</v>
      </c>
      <c r="D114" s="263">
        <v>4.048</v>
      </c>
      <c r="E114" s="486">
        <v>0.228</v>
      </c>
      <c r="F114" s="486">
        <v>-1.342</v>
      </c>
      <c r="G114" s="486">
        <v>-1.6</v>
      </c>
      <c r="H114" s="486">
        <v>-1.721</v>
      </c>
      <c r="I114" s="486">
        <v>-1.598</v>
      </c>
      <c r="J114" s="58"/>
    </row>
    <row r="115" spans="1:10" ht="12.75">
      <c r="A115" s="98" t="s">
        <v>950</v>
      </c>
      <c r="B115" s="98"/>
      <c r="C115" s="264">
        <v>1.3383470000000002</v>
      </c>
      <c r="D115" s="264">
        <v>0.53806</v>
      </c>
      <c r="E115" s="155">
        <v>0.771733</v>
      </c>
      <c r="F115" s="155">
        <v>1.495438</v>
      </c>
      <c r="G115" s="155">
        <v>1.821384</v>
      </c>
      <c r="H115" s="155">
        <v>2.156039</v>
      </c>
      <c r="I115" s="155">
        <v>2.490901</v>
      </c>
      <c r="J115" s="58"/>
    </row>
    <row r="116" spans="1:14" ht="12.75">
      <c r="A116" s="98" t="s">
        <v>951</v>
      </c>
      <c r="B116" s="98"/>
      <c r="C116" s="264">
        <v>-0.22034699999999996</v>
      </c>
      <c r="D116" s="264">
        <v>0.334</v>
      </c>
      <c r="E116" s="155">
        <v>0.575267</v>
      </c>
      <c r="F116" s="155">
        <v>0.5755620000000001</v>
      </c>
      <c r="G116" s="155">
        <v>0.578616</v>
      </c>
      <c r="H116" s="155">
        <v>0.5849610000000003</v>
      </c>
      <c r="I116" s="155">
        <v>0.585099</v>
      </c>
      <c r="J116" s="58"/>
      <c r="K116" s="58"/>
      <c r="L116" s="58"/>
      <c r="M116" s="58"/>
      <c r="N116" s="58"/>
    </row>
    <row r="117" spans="1:11" ht="12.75">
      <c r="A117" s="98" t="s">
        <v>876</v>
      </c>
      <c r="B117" s="98"/>
      <c r="C117" s="264">
        <v>7.59</v>
      </c>
      <c r="D117" s="264">
        <v>9.189</v>
      </c>
      <c r="E117" s="155">
        <v>9.376</v>
      </c>
      <c r="F117" s="155">
        <v>9.295</v>
      </c>
      <c r="G117" s="155">
        <v>9.116</v>
      </c>
      <c r="H117" s="152">
        <v>8.967</v>
      </c>
      <c r="I117" s="152">
        <v>8.87</v>
      </c>
      <c r="J117" s="58"/>
      <c r="K117" s="58"/>
    </row>
    <row r="118" spans="1:10" ht="12.75">
      <c r="A118" s="98" t="s">
        <v>877</v>
      </c>
      <c r="B118" s="98"/>
      <c r="C118" s="264">
        <v>43.377</v>
      </c>
      <c r="D118" s="264">
        <v>49.726</v>
      </c>
      <c r="E118" s="155">
        <v>47.79</v>
      </c>
      <c r="F118" s="155">
        <v>47.452</v>
      </c>
      <c r="G118" s="155">
        <v>53.838</v>
      </c>
      <c r="H118" s="155">
        <v>55.652</v>
      </c>
      <c r="I118" s="155">
        <v>57.589</v>
      </c>
      <c r="J118" s="58"/>
    </row>
    <row r="119" spans="1:10" ht="12.75">
      <c r="A119" s="98" t="s">
        <v>644</v>
      </c>
      <c r="B119" s="98"/>
      <c r="C119" s="264">
        <v>26.213</v>
      </c>
      <c r="D119" s="264">
        <v>28.637</v>
      </c>
      <c r="E119" s="155">
        <v>29.236</v>
      </c>
      <c r="F119" s="155">
        <v>29.542</v>
      </c>
      <c r="G119" s="155">
        <v>29.497</v>
      </c>
      <c r="H119" s="155">
        <v>29.256</v>
      </c>
      <c r="I119" s="155">
        <v>29.085</v>
      </c>
      <c r="J119" s="58"/>
    </row>
    <row r="120" spans="1:10" ht="12.75">
      <c r="A120" s="98" t="s">
        <v>879</v>
      </c>
      <c r="B120" s="98"/>
      <c r="C120" s="264">
        <v>41.298</v>
      </c>
      <c r="D120" s="264">
        <v>43.659</v>
      </c>
      <c r="E120" s="155">
        <v>45.312</v>
      </c>
      <c r="F120" s="155">
        <v>46.311</v>
      </c>
      <c r="G120" s="155">
        <v>47.197</v>
      </c>
      <c r="H120" s="155">
        <v>48.041</v>
      </c>
      <c r="I120" s="155">
        <v>48.79</v>
      </c>
      <c r="J120" s="58"/>
    </row>
    <row r="121" spans="1:10" ht="12.75">
      <c r="A121" s="98" t="s">
        <v>880</v>
      </c>
      <c r="B121" s="98"/>
      <c r="C121" s="264">
        <v>28.087</v>
      </c>
      <c r="D121" s="264">
        <v>31.033</v>
      </c>
      <c r="E121" s="155">
        <v>33.347</v>
      </c>
      <c r="F121" s="155">
        <v>34.545</v>
      </c>
      <c r="G121" s="155">
        <v>36.085</v>
      </c>
      <c r="H121" s="155">
        <v>37.204</v>
      </c>
      <c r="I121" s="155">
        <v>39.068000000000005</v>
      </c>
      <c r="J121" s="58"/>
    </row>
    <row r="122" spans="1:10" ht="12.75">
      <c r="A122" s="98" t="s">
        <v>878</v>
      </c>
      <c r="B122" s="98"/>
      <c r="C122" s="264">
        <v>25.049</v>
      </c>
      <c r="D122" s="264">
        <v>25.696</v>
      </c>
      <c r="E122" s="155">
        <v>27.807</v>
      </c>
      <c r="F122" s="155">
        <v>28.201</v>
      </c>
      <c r="G122" s="155">
        <v>28.595</v>
      </c>
      <c r="H122" s="155">
        <v>28.85</v>
      </c>
      <c r="I122" s="155">
        <v>28.914</v>
      </c>
      <c r="J122" s="58"/>
    </row>
    <row r="123" spans="1:10" ht="12.75">
      <c r="A123" s="98" t="s">
        <v>24</v>
      </c>
      <c r="B123" s="98"/>
      <c r="C123" s="264">
        <v>0.804</v>
      </c>
      <c r="D123" s="264">
        <v>0.845</v>
      </c>
      <c r="E123" s="155">
        <v>0.963</v>
      </c>
      <c r="F123" s="155">
        <v>1.008</v>
      </c>
      <c r="G123" s="155">
        <v>1.038</v>
      </c>
      <c r="H123" s="155">
        <v>1.039</v>
      </c>
      <c r="I123" s="155">
        <v>1.595</v>
      </c>
      <c r="J123" s="58"/>
    </row>
    <row r="124" spans="1:10" ht="12.75">
      <c r="A124" s="98" t="s">
        <v>18</v>
      </c>
      <c r="B124" s="98"/>
      <c r="C124" s="264">
        <v>0</v>
      </c>
      <c r="D124" s="264">
        <v>0</v>
      </c>
      <c r="E124" s="155">
        <v>0</v>
      </c>
      <c r="F124" s="155">
        <v>0</v>
      </c>
      <c r="G124" s="155">
        <v>0</v>
      </c>
      <c r="H124" s="155">
        <v>0</v>
      </c>
      <c r="I124" s="155">
        <v>0</v>
      </c>
      <c r="J124" s="58"/>
    </row>
    <row r="125" spans="1:10" ht="12.75">
      <c r="A125" s="98" t="s">
        <v>198</v>
      </c>
      <c r="B125" s="98"/>
      <c r="C125" s="264">
        <v>1.062</v>
      </c>
      <c r="D125" s="264">
        <v>1.375</v>
      </c>
      <c r="E125" s="155">
        <v>1.248</v>
      </c>
      <c r="F125" s="155">
        <v>1.31</v>
      </c>
      <c r="G125" s="155">
        <v>1.371</v>
      </c>
      <c r="H125" s="155">
        <v>1.402</v>
      </c>
      <c r="I125" s="155">
        <v>1.417</v>
      </c>
      <c r="J125" s="58"/>
    </row>
    <row r="126" spans="1:10" ht="12.75">
      <c r="A126" s="98" t="s">
        <v>19</v>
      </c>
      <c r="B126" s="98"/>
      <c r="C126" s="264">
        <v>17.834</v>
      </c>
      <c r="D126" s="264">
        <v>21.301</v>
      </c>
      <c r="E126" s="155">
        <v>21.605</v>
      </c>
      <c r="F126" s="155">
        <v>21.892</v>
      </c>
      <c r="G126" s="155">
        <v>22.135</v>
      </c>
      <c r="H126" s="155">
        <v>22.516</v>
      </c>
      <c r="I126" s="155">
        <v>23.432000000000002</v>
      </c>
      <c r="J126" s="58"/>
    </row>
    <row r="127" spans="1:10" ht="12.75">
      <c r="A127" s="98" t="s">
        <v>20</v>
      </c>
      <c r="B127" s="98"/>
      <c r="C127" s="264">
        <v>0.704</v>
      </c>
      <c r="D127" s="264">
        <v>0.562</v>
      </c>
      <c r="E127" s="155">
        <v>0.562</v>
      </c>
      <c r="F127" s="155">
        <v>0.562</v>
      </c>
      <c r="G127" s="155">
        <v>0.562</v>
      </c>
      <c r="H127" s="155">
        <v>0.562</v>
      </c>
      <c r="I127" s="155">
        <v>0.562</v>
      </c>
      <c r="J127" s="58"/>
    </row>
    <row r="128" spans="1:10" ht="12.75">
      <c r="A128" s="98" t="s">
        <v>21</v>
      </c>
      <c r="B128" s="98"/>
      <c r="C128" s="264">
        <v>0</v>
      </c>
      <c r="D128" s="264">
        <v>0</v>
      </c>
      <c r="E128" s="155">
        <v>0.239</v>
      </c>
      <c r="F128" s="155">
        <v>0.781</v>
      </c>
      <c r="G128" s="155">
        <v>0.564</v>
      </c>
      <c r="H128" s="155">
        <v>0.162</v>
      </c>
      <c r="I128" s="155">
        <v>-0.562</v>
      </c>
      <c r="J128" s="58"/>
    </row>
    <row r="129" spans="1:10" ht="12.75">
      <c r="A129" s="74" t="s">
        <v>200</v>
      </c>
      <c r="B129" s="74"/>
      <c r="C129" s="263">
        <v>50.783</v>
      </c>
      <c r="D129" s="263">
        <v>57.141</v>
      </c>
      <c r="E129" s="485">
        <v>57.267</v>
      </c>
      <c r="F129" s="485">
        <v>55.946</v>
      </c>
      <c r="G129" s="485">
        <v>54.376</v>
      </c>
      <c r="H129" s="485">
        <v>52.695</v>
      </c>
      <c r="I129" s="485">
        <v>51.14</v>
      </c>
      <c r="J129" s="58"/>
    </row>
    <row r="130" spans="1:10" ht="15.75">
      <c r="A130" s="77" t="s">
        <v>854</v>
      </c>
      <c r="B130" s="77"/>
      <c r="C130" s="257"/>
      <c r="D130" s="257"/>
      <c r="E130" s="371"/>
      <c r="F130" s="371"/>
      <c r="G130" s="371"/>
      <c r="H130" s="371"/>
      <c r="I130" s="371"/>
      <c r="J130" s="58"/>
    </row>
    <row r="131" spans="1:10" ht="12.75">
      <c r="A131" s="98" t="s">
        <v>657</v>
      </c>
      <c r="B131" s="98"/>
      <c r="C131" s="255">
        <v>20.98</v>
      </c>
      <c r="D131" s="255">
        <v>23.345</v>
      </c>
      <c r="E131" s="155">
        <v>23.073</v>
      </c>
      <c r="F131" s="155">
        <v>23.703</v>
      </c>
      <c r="G131" s="155">
        <v>24.41</v>
      </c>
      <c r="H131" s="155">
        <v>25.517</v>
      </c>
      <c r="I131" s="155">
        <v>27.201</v>
      </c>
      <c r="J131" s="58"/>
    </row>
    <row r="132" spans="1:10" ht="12.75">
      <c r="A132" s="98" t="s">
        <v>658</v>
      </c>
      <c r="B132" s="98"/>
      <c r="C132" s="255">
        <v>4.44</v>
      </c>
      <c r="D132" s="255">
        <v>5.071</v>
      </c>
      <c r="E132" s="155">
        <v>4.972</v>
      </c>
      <c r="F132" s="155">
        <v>5.251</v>
      </c>
      <c r="G132" s="155">
        <v>5.255</v>
      </c>
      <c r="H132" s="155">
        <v>5.392</v>
      </c>
      <c r="I132" s="155">
        <v>5.549</v>
      </c>
      <c r="J132" s="58"/>
    </row>
    <row r="133" spans="1:10" ht="12.75">
      <c r="A133" s="98" t="s">
        <v>659</v>
      </c>
      <c r="B133" s="98"/>
      <c r="C133" s="255">
        <v>-1.08</v>
      </c>
      <c r="D133" s="255">
        <v>-1.47</v>
      </c>
      <c r="E133" s="155">
        <v>-1.494</v>
      </c>
      <c r="F133" s="155">
        <v>-1.46</v>
      </c>
      <c r="G133" s="155">
        <v>-1.451</v>
      </c>
      <c r="H133" s="155">
        <v>-1.49</v>
      </c>
      <c r="I133" s="155">
        <v>-1.552</v>
      </c>
      <c r="J133" s="58"/>
    </row>
    <row r="134" spans="1:10" ht="12.75">
      <c r="A134" s="98" t="s">
        <v>660</v>
      </c>
      <c r="B134" s="98"/>
      <c r="C134" s="255">
        <v>0.468</v>
      </c>
      <c r="D134" s="255">
        <v>0.522</v>
      </c>
      <c r="E134" s="155">
        <v>0.514</v>
      </c>
      <c r="F134" s="155">
        <v>0.529</v>
      </c>
      <c r="G134" s="155">
        <v>0.556</v>
      </c>
      <c r="H134" s="155">
        <v>0.58</v>
      </c>
      <c r="I134" s="155">
        <v>0.607</v>
      </c>
      <c r="J134" s="58"/>
    </row>
    <row r="135" spans="1:10" ht="12.75">
      <c r="A135" s="98" t="s">
        <v>923</v>
      </c>
      <c r="B135" s="98"/>
      <c r="C135" s="255">
        <v>9.891</v>
      </c>
      <c r="D135" s="255">
        <v>10.122</v>
      </c>
      <c r="E135" s="155">
        <v>8.932</v>
      </c>
      <c r="F135" s="155">
        <v>8.841</v>
      </c>
      <c r="G135" s="155">
        <v>9.559</v>
      </c>
      <c r="H135" s="155">
        <v>10.035</v>
      </c>
      <c r="I135" s="155">
        <v>10.463</v>
      </c>
      <c r="J135" s="58"/>
    </row>
    <row r="136" spans="1:10" ht="12.75">
      <c r="A136" s="98" t="s">
        <v>125</v>
      </c>
      <c r="B136" s="98"/>
      <c r="C136" s="255">
        <v>2.318</v>
      </c>
      <c r="D136" s="255">
        <v>2.771</v>
      </c>
      <c r="E136" s="155">
        <v>2.885</v>
      </c>
      <c r="F136" s="155">
        <v>2.89</v>
      </c>
      <c r="G136" s="155">
        <v>2.764</v>
      </c>
      <c r="H136" s="155">
        <v>2.845</v>
      </c>
      <c r="I136" s="155">
        <v>2.997</v>
      </c>
      <c r="J136" s="58"/>
    </row>
    <row r="137" spans="1:10" ht="12.75">
      <c r="A137" s="98" t="s">
        <v>929</v>
      </c>
      <c r="B137" s="98"/>
      <c r="C137" s="255">
        <v>11.215</v>
      </c>
      <c r="D137" s="255">
        <v>11.115</v>
      </c>
      <c r="E137" s="155">
        <v>11.687</v>
      </c>
      <c r="F137" s="155">
        <v>12.024</v>
      </c>
      <c r="G137" s="155">
        <v>12.476</v>
      </c>
      <c r="H137" s="155">
        <v>13.187</v>
      </c>
      <c r="I137" s="155">
        <v>13.762</v>
      </c>
      <c r="J137" s="58"/>
    </row>
    <row r="138" spans="1:10" ht="12.75">
      <c r="A138" s="238" t="s">
        <v>560</v>
      </c>
      <c r="B138" s="238"/>
      <c r="C138" s="255">
        <v>4.832</v>
      </c>
      <c r="D138" s="255">
        <v>4.896</v>
      </c>
      <c r="E138" s="155">
        <v>4.969</v>
      </c>
      <c r="F138" s="155">
        <v>5.022</v>
      </c>
      <c r="G138" s="155">
        <v>5.105</v>
      </c>
      <c r="H138" s="155">
        <v>5.203</v>
      </c>
      <c r="I138" s="155">
        <v>5.347</v>
      </c>
      <c r="J138" s="58"/>
    </row>
    <row r="139" spans="1:10" ht="15.75">
      <c r="A139" s="77" t="s">
        <v>855</v>
      </c>
      <c r="B139" s="77"/>
      <c r="C139" s="266"/>
      <c r="D139" s="266"/>
      <c r="E139" s="372"/>
      <c r="F139" s="372"/>
      <c r="G139" s="372"/>
      <c r="H139" s="372"/>
      <c r="I139" s="372"/>
      <c r="J139" s="58"/>
    </row>
    <row r="140" spans="1:10" ht="12.75">
      <c r="A140" s="98" t="s">
        <v>185</v>
      </c>
      <c r="B140" s="98"/>
      <c r="C140" s="253">
        <v>6.81</v>
      </c>
      <c r="D140" s="253">
        <v>7.348</v>
      </c>
      <c r="E140" s="155">
        <v>7.785</v>
      </c>
      <c r="F140" s="155">
        <v>8.339</v>
      </c>
      <c r="G140" s="155">
        <v>8.72</v>
      </c>
      <c r="H140" s="155">
        <v>9.262</v>
      </c>
      <c r="I140" s="155">
        <v>9.886</v>
      </c>
      <c r="J140" s="58"/>
    </row>
    <row r="141" spans="1:10" ht="12.75">
      <c r="A141" s="98" t="s">
        <v>187</v>
      </c>
      <c r="B141" s="98"/>
      <c r="C141" s="253">
        <v>1.468</v>
      </c>
      <c r="D141" s="253">
        <v>1.478</v>
      </c>
      <c r="E141" s="155">
        <v>1.501</v>
      </c>
      <c r="F141" s="155">
        <v>1.545</v>
      </c>
      <c r="G141" s="155">
        <v>1.568</v>
      </c>
      <c r="H141" s="155">
        <v>1.616</v>
      </c>
      <c r="I141" s="155">
        <v>1.656</v>
      </c>
      <c r="J141" s="58"/>
    </row>
    <row r="142" spans="1:10" ht="12.75">
      <c r="A142" s="98" t="s">
        <v>927</v>
      </c>
      <c r="B142" s="98"/>
      <c r="C142" s="253">
        <v>3.143</v>
      </c>
      <c r="D142" s="253">
        <v>3.423</v>
      </c>
      <c r="E142" s="155">
        <v>4.02</v>
      </c>
      <c r="F142" s="155">
        <v>4.153</v>
      </c>
      <c r="G142" s="155">
        <v>4.436</v>
      </c>
      <c r="H142" s="155">
        <v>4.751</v>
      </c>
      <c r="I142" s="155">
        <v>5.074</v>
      </c>
      <c r="J142" s="58"/>
    </row>
    <row r="143" spans="1:10" ht="12.75">
      <c r="A143" s="98" t="s">
        <v>186</v>
      </c>
      <c r="B143" s="98"/>
      <c r="C143" s="253">
        <v>0.613</v>
      </c>
      <c r="D143" s="253">
        <v>0.458</v>
      </c>
      <c r="E143" s="155">
        <v>0.487</v>
      </c>
      <c r="F143" s="155">
        <v>0.576</v>
      </c>
      <c r="G143" s="155">
        <v>0.583</v>
      </c>
      <c r="H143" s="487">
        <v>0.54</v>
      </c>
      <c r="I143" s="487">
        <v>0.523</v>
      </c>
      <c r="J143" s="58"/>
    </row>
    <row r="144" spans="1:10" ht="12.75">
      <c r="A144" s="98" t="s">
        <v>193</v>
      </c>
      <c r="B144" s="98"/>
      <c r="C144" s="490">
        <v>1.132</v>
      </c>
      <c r="D144" s="490">
        <v>1.216</v>
      </c>
      <c r="E144" s="155">
        <v>1.273</v>
      </c>
      <c r="F144" s="155">
        <v>1.332</v>
      </c>
      <c r="G144" s="155">
        <v>1.378</v>
      </c>
      <c r="H144" s="487">
        <v>1.427</v>
      </c>
      <c r="I144" s="487">
        <v>1.466</v>
      </c>
      <c r="J144" s="58"/>
    </row>
    <row r="145" spans="1:10" ht="12.75">
      <c r="A145" s="98" t="s">
        <v>194</v>
      </c>
      <c r="B145" s="98"/>
      <c r="C145" s="490">
        <v>0.573</v>
      </c>
      <c r="D145" s="490">
        <v>0.582</v>
      </c>
      <c r="E145" s="155">
        <v>0.57</v>
      </c>
      <c r="F145" s="155">
        <v>0.577</v>
      </c>
      <c r="G145" s="155">
        <v>0.578</v>
      </c>
      <c r="H145" s="487">
        <v>0.584</v>
      </c>
      <c r="I145" s="487">
        <v>0.588</v>
      </c>
      <c r="J145" s="58"/>
    </row>
    <row r="146" spans="1:10" ht="15.75">
      <c r="A146" s="77" t="s">
        <v>864</v>
      </c>
      <c r="B146" s="77"/>
      <c r="C146" s="478"/>
      <c r="D146" s="478"/>
      <c r="E146" s="488"/>
      <c r="F146" s="488"/>
      <c r="G146" s="488"/>
      <c r="H146" s="488"/>
      <c r="I146" s="488"/>
      <c r="J146" s="58"/>
    </row>
    <row r="147" spans="1:10" ht="12.75">
      <c r="A147" s="74" t="s">
        <v>866</v>
      </c>
      <c r="B147" s="74"/>
      <c r="C147" s="120"/>
      <c r="D147" s="120"/>
      <c r="E147" s="321"/>
      <c r="F147" s="321"/>
      <c r="G147" s="321"/>
      <c r="H147" s="321"/>
      <c r="I147" s="321"/>
      <c r="J147" s="58"/>
    </row>
    <row r="148" spans="1:10" ht="12.75">
      <c r="A148" s="98" t="s">
        <v>865</v>
      </c>
      <c r="B148" s="98"/>
      <c r="C148" s="253">
        <v>21.536829</v>
      </c>
      <c r="D148" s="253">
        <v>25.795337</v>
      </c>
      <c r="E148" s="155">
        <v>20.731849</v>
      </c>
      <c r="F148" s="155">
        <v>17.784813999999997</v>
      </c>
      <c r="G148" s="155">
        <v>20.586243999999997</v>
      </c>
      <c r="H148" s="155">
        <v>18.662854</v>
      </c>
      <c r="I148" s="155">
        <v>16.544641</v>
      </c>
      <c r="J148" s="58"/>
    </row>
    <row r="149" spans="1:10" ht="12.75">
      <c r="A149" s="98" t="s">
        <v>867</v>
      </c>
      <c r="B149" s="98"/>
      <c r="C149" s="253">
        <v>11.663</v>
      </c>
      <c r="D149" s="253">
        <v>13.382</v>
      </c>
      <c r="E149" s="480">
        <v>15.914</v>
      </c>
      <c r="F149" s="480">
        <v>18.851</v>
      </c>
      <c r="G149" s="480">
        <v>22.139</v>
      </c>
      <c r="H149" s="480">
        <v>25.779</v>
      </c>
      <c r="I149" s="480">
        <v>29.729</v>
      </c>
      <c r="J149" s="58"/>
    </row>
    <row r="150" spans="1:10" ht="12.75">
      <c r="A150" s="98" t="s">
        <v>868</v>
      </c>
      <c r="B150" s="98"/>
      <c r="C150" s="253">
        <v>11.295171000000003</v>
      </c>
      <c r="D150" s="253">
        <v>11.421</v>
      </c>
      <c r="E150" s="155">
        <v>12.491151000000002</v>
      </c>
      <c r="F150" s="155">
        <v>12.887186000000007</v>
      </c>
      <c r="G150" s="155">
        <v>13.512756000000003</v>
      </c>
      <c r="H150" s="155">
        <v>13.951146000000001</v>
      </c>
      <c r="I150" s="155">
        <v>14.391359000000001</v>
      </c>
      <c r="J150" s="58"/>
    </row>
    <row r="151" spans="1:10" ht="12.75">
      <c r="A151" s="98" t="s">
        <v>2</v>
      </c>
      <c r="B151" s="98"/>
      <c r="C151" s="253">
        <v>9.0113704</v>
      </c>
      <c r="D151" s="253">
        <v>10.017</v>
      </c>
      <c r="E151" s="155">
        <v>10.017</v>
      </c>
      <c r="F151" s="155">
        <v>10.966999999999999</v>
      </c>
      <c r="G151" s="155">
        <v>11.953</v>
      </c>
      <c r="H151" s="155">
        <v>12.942</v>
      </c>
      <c r="I151" s="155">
        <v>13.838000000000001</v>
      </c>
      <c r="J151" s="58"/>
    </row>
    <row r="152" spans="1:10" ht="12.75">
      <c r="A152" s="98" t="s">
        <v>3</v>
      </c>
      <c r="B152" s="98"/>
      <c r="C152" s="253">
        <v>5.45701581</v>
      </c>
      <c r="D152" s="253">
        <v>5.599</v>
      </c>
      <c r="E152" s="155">
        <v>5.599</v>
      </c>
      <c r="F152" s="155">
        <v>5.9830000000000005</v>
      </c>
      <c r="G152" s="155">
        <v>6.393</v>
      </c>
      <c r="H152" s="155">
        <v>6.831</v>
      </c>
      <c r="I152" s="155">
        <v>7.297</v>
      </c>
      <c r="J152" s="58"/>
    </row>
    <row r="153" spans="1:10" ht="12.75">
      <c r="A153" s="98" t="s">
        <v>869</v>
      </c>
      <c r="B153" s="98"/>
      <c r="C153" s="253">
        <v>4.387613790000001</v>
      </c>
      <c r="D153" s="253">
        <v>3.8309999999999995</v>
      </c>
      <c r="E153" s="155">
        <v>5.408000000000001</v>
      </c>
      <c r="F153" s="155">
        <v>5.5809999999999995</v>
      </c>
      <c r="G153" s="155">
        <v>5.75</v>
      </c>
      <c r="H153" s="155">
        <v>5.638999999999999</v>
      </c>
      <c r="I153" s="155">
        <v>5.383999999999997</v>
      </c>
      <c r="J153" s="58"/>
    </row>
    <row r="154" spans="1:10" ht="12.75">
      <c r="A154" s="98" t="s">
        <v>870</v>
      </c>
      <c r="B154" s="98"/>
      <c r="C154" s="253">
        <v>7.213</v>
      </c>
      <c r="D154" s="253">
        <v>9.48</v>
      </c>
      <c r="E154" s="155">
        <v>12.066</v>
      </c>
      <c r="F154" s="155">
        <v>12.822</v>
      </c>
      <c r="G154" s="155">
        <v>13.053</v>
      </c>
      <c r="H154" s="155">
        <v>13.26</v>
      </c>
      <c r="I154" s="155">
        <v>13.625</v>
      </c>
      <c r="J154" s="58"/>
    </row>
    <row r="155" spans="1:10" ht="12.75">
      <c r="A155" s="74" t="s">
        <v>871</v>
      </c>
      <c r="B155" s="74"/>
      <c r="C155" s="355"/>
      <c r="D155" s="355"/>
      <c r="E155" s="355"/>
      <c r="F155" s="355"/>
      <c r="G155" s="355"/>
      <c r="H155" s="355"/>
      <c r="I155" s="355"/>
      <c r="J155" s="58"/>
    </row>
    <row r="156" spans="1:10" ht="12.75">
      <c r="A156" s="98" t="s">
        <v>188</v>
      </c>
      <c r="B156" s="98"/>
      <c r="C156" s="253">
        <v>12.523388</v>
      </c>
      <c r="D156" s="253">
        <v>13.610709</v>
      </c>
      <c r="E156" s="155">
        <v>16.317892</v>
      </c>
      <c r="F156" s="155">
        <v>19.364324000000003</v>
      </c>
      <c r="G156" s="155">
        <v>22.767123</v>
      </c>
      <c r="H156" s="155">
        <v>26.547108</v>
      </c>
      <c r="I156" s="155">
        <v>30.645744</v>
      </c>
      <c r="J156" s="58"/>
    </row>
    <row r="157" spans="1:10" ht="12.75">
      <c r="A157" s="98" t="s">
        <v>2</v>
      </c>
      <c r="B157" s="98"/>
      <c r="C157" s="253">
        <v>11.264213</v>
      </c>
      <c r="D157" s="253">
        <v>12.496216</v>
      </c>
      <c r="E157" s="155">
        <v>13.154606000000001</v>
      </c>
      <c r="F157" s="155">
        <v>14.057955999999999</v>
      </c>
      <c r="G157" s="155">
        <v>14.933968</v>
      </c>
      <c r="H157" s="155">
        <v>15.616845999999999</v>
      </c>
      <c r="I157" s="155">
        <v>16.055515</v>
      </c>
      <c r="J157" s="58"/>
    </row>
    <row r="158" spans="1:10" ht="12.75">
      <c r="A158" s="98" t="s">
        <v>3</v>
      </c>
      <c r="B158" s="98"/>
      <c r="C158" s="253">
        <v>5.484438</v>
      </c>
      <c r="D158" s="253">
        <v>5.615169</v>
      </c>
      <c r="E158" s="155">
        <v>5.999131</v>
      </c>
      <c r="F158" s="155">
        <v>6.408977</v>
      </c>
      <c r="G158" s="155">
        <v>6.846917</v>
      </c>
      <c r="H158" s="155">
        <v>7.315158</v>
      </c>
      <c r="I158" s="155">
        <v>7.816682999999999</v>
      </c>
      <c r="J158" s="58"/>
    </row>
    <row r="159" spans="1:10" ht="15.75">
      <c r="A159" s="77" t="s">
        <v>190</v>
      </c>
      <c r="B159" s="77"/>
      <c r="C159" s="257"/>
      <c r="D159" s="257"/>
      <c r="E159" s="154"/>
      <c r="F159" s="154"/>
      <c r="G159" s="154"/>
      <c r="H159" s="154"/>
      <c r="I159" s="154"/>
      <c r="J159" s="58"/>
    </row>
    <row r="160" spans="1:10" ht="12.75">
      <c r="A160" s="98" t="s">
        <v>191</v>
      </c>
      <c r="B160" s="98"/>
      <c r="C160" s="253">
        <v>5.569</v>
      </c>
      <c r="D160" s="253">
        <v>6.011</v>
      </c>
      <c r="E160" s="155">
        <v>6.741</v>
      </c>
      <c r="F160" s="155">
        <v>7.173</v>
      </c>
      <c r="G160" s="155">
        <v>7.599</v>
      </c>
      <c r="H160" s="155">
        <v>8.022</v>
      </c>
      <c r="I160" s="155">
        <v>8.441</v>
      </c>
      <c r="J160" s="58"/>
    </row>
    <row r="161" spans="1:10" ht="12.75">
      <c r="A161" s="98" t="s">
        <v>858</v>
      </c>
      <c r="B161" s="98"/>
      <c r="C161" s="253">
        <v>1.176</v>
      </c>
      <c r="D161" s="253">
        <v>1.201</v>
      </c>
      <c r="E161" s="155">
        <v>1.298</v>
      </c>
      <c r="F161" s="155">
        <v>1.384</v>
      </c>
      <c r="G161" s="155">
        <v>1.47</v>
      </c>
      <c r="H161" s="155">
        <v>1.558</v>
      </c>
      <c r="I161" s="155">
        <v>1.638</v>
      </c>
      <c r="J161" s="58"/>
    </row>
    <row r="162" spans="1:10" ht="12.75">
      <c r="A162" s="98" t="s">
        <v>859</v>
      </c>
      <c r="B162" s="98"/>
      <c r="C162" s="253">
        <v>0.488</v>
      </c>
      <c r="D162" s="253">
        <v>0.487</v>
      </c>
      <c r="E162" s="155">
        <v>0.503</v>
      </c>
      <c r="F162" s="155">
        <v>0.536</v>
      </c>
      <c r="G162" s="155">
        <v>0.57</v>
      </c>
      <c r="H162" s="155">
        <v>0.604</v>
      </c>
      <c r="I162" s="155">
        <v>0.634</v>
      </c>
      <c r="J162" s="58"/>
    </row>
    <row r="163" spans="1:10" ht="12.75">
      <c r="A163" s="98" t="s">
        <v>860</v>
      </c>
      <c r="B163" s="98"/>
      <c r="C163" s="253">
        <v>0.555</v>
      </c>
      <c r="D163" s="253">
        <v>0.629</v>
      </c>
      <c r="E163" s="155">
        <v>0.703</v>
      </c>
      <c r="F163" s="155">
        <v>0.795</v>
      </c>
      <c r="G163" s="155">
        <v>0.879</v>
      </c>
      <c r="H163" s="155">
        <v>0.965</v>
      </c>
      <c r="I163" s="155">
        <v>1.05</v>
      </c>
      <c r="J163" s="58"/>
    </row>
    <row r="164" spans="1:10" ht="12.75">
      <c r="A164" s="98" t="s">
        <v>861</v>
      </c>
      <c r="B164" s="98"/>
      <c r="C164" s="253">
        <v>0.36</v>
      </c>
      <c r="D164" s="253">
        <v>0.407</v>
      </c>
      <c r="E164" s="155">
        <v>0.452</v>
      </c>
      <c r="F164" s="155">
        <v>0.483</v>
      </c>
      <c r="G164" s="155">
        <v>0.51</v>
      </c>
      <c r="H164" s="155">
        <v>0.539</v>
      </c>
      <c r="I164" s="155">
        <v>0.568</v>
      </c>
      <c r="J164" s="58"/>
    </row>
    <row r="165" spans="1:10" ht="12.75">
      <c r="A165" s="98" t="s">
        <v>862</v>
      </c>
      <c r="B165" s="98"/>
      <c r="C165" s="253">
        <v>0.151</v>
      </c>
      <c r="D165" s="253">
        <v>-0.231</v>
      </c>
      <c r="E165" s="155">
        <v>0.11</v>
      </c>
      <c r="F165" s="155">
        <v>0.11</v>
      </c>
      <c r="G165" s="155">
        <v>0.11</v>
      </c>
      <c r="H165" s="155">
        <v>0.11</v>
      </c>
      <c r="I165" s="155">
        <v>0.11</v>
      </c>
      <c r="J165" s="58"/>
    </row>
    <row r="166" spans="1:10" ht="12.75">
      <c r="A166" s="98" t="s">
        <v>863</v>
      </c>
      <c r="B166" s="98"/>
      <c r="C166" s="253">
        <v>0.1</v>
      </c>
      <c r="D166" s="253">
        <v>0.007</v>
      </c>
      <c r="E166" s="155">
        <v>-0.002</v>
      </c>
      <c r="F166" s="155">
        <v>0</v>
      </c>
      <c r="G166" s="155">
        <v>0.002</v>
      </c>
      <c r="H166" s="155">
        <v>0.001</v>
      </c>
      <c r="I166" s="155">
        <v>-0.001</v>
      </c>
      <c r="J166" s="58"/>
    </row>
    <row r="167" spans="1:10" ht="12.75">
      <c r="A167" s="73" t="s">
        <v>192</v>
      </c>
      <c r="B167" s="73"/>
      <c r="C167" s="256">
        <f aca="true" t="shared" si="8" ref="C167:I167">SUM(C$160,C$161,C$164,C$166)-SUM(C$162,C$163,C$165)</f>
        <v>6.011</v>
      </c>
      <c r="D167" s="256">
        <f>SUM(D$160,D$161,D$164,D$166)-SUM(D$162,D$163,D$165)</f>
        <v>6.741</v>
      </c>
      <c r="E167" s="163">
        <f>SUM(E$160,E$161,E$164,E$166)-SUM(E$162,E$163,E$165)</f>
        <v>7.172999999999999</v>
      </c>
      <c r="F167" s="163">
        <f t="shared" si="8"/>
        <v>7.599000000000001</v>
      </c>
      <c r="G167" s="163">
        <f t="shared" si="8"/>
        <v>8.022000000000002</v>
      </c>
      <c r="H167" s="163">
        <f t="shared" si="8"/>
        <v>8.440999999999999</v>
      </c>
      <c r="I167" s="163">
        <f t="shared" si="8"/>
        <v>8.852</v>
      </c>
      <c r="J167" s="58"/>
    </row>
    <row r="168" spans="1:10" ht="12.75">
      <c r="A168" s="73"/>
      <c r="B168" s="73"/>
      <c r="C168" s="164"/>
      <c r="D168" s="164"/>
      <c r="E168" s="164"/>
      <c r="F168" s="164"/>
      <c r="G168" s="164"/>
      <c r="H168" s="164"/>
      <c r="I168" s="164"/>
      <c r="J168" s="58"/>
    </row>
    <row r="169" spans="1:10" ht="15.75">
      <c r="A169" s="77" t="s">
        <v>837</v>
      </c>
      <c r="B169" s="77"/>
      <c r="C169" s="164"/>
      <c r="D169" s="164"/>
      <c r="E169" s="164"/>
      <c r="F169" s="164"/>
      <c r="G169" s="164"/>
      <c r="H169" s="164"/>
      <c r="I169" s="164"/>
      <c r="J169" s="58"/>
    </row>
    <row r="170" spans="1:10" ht="12.75">
      <c r="A170" s="74" t="s">
        <v>841</v>
      </c>
      <c r="B170" s="74"/>
      <c r="C170" s="267" t="str">
        <f aca="true" t="shared" si="9" ref="C170:I170">IF(ROUND(C$33-(C$12-C$32),3)=0,"OK","ERROR")</f>
        <v>OK</v>
      </c>
      <c r="D170" s="267" t="str">
        <f>IF(ROUND(D$33-(D$12-D$32),3)=0,"OK","ERROR")</f>
        <v>OK</v>
      </c>
      <c r="E170" s="156" t="str">
        <f>IF(ROUND(E$33-(E$12-E$32),3)=0,"OK","ERROR")</f>
        <v>OK</v>
      </c>
      <c r="F170" s="156" t="str">
        <f t="shared" si="9"/>
        <v>OK</v>
      </c>
      <c r="G170" s="156" t="str">
        <f t="shared" si="9"/>
        <v>OK</v>
      </c>
      <c r="H170" s="156" t="str">
        <f t="shared" si="9"/>
        <v>OK</v>
      </c>
      <c r="I170" s="156" t="str">
        <f t="shared" si="9"/>
        <v>OK</v>
      </c>
      <c r="J170" s="58"/>
    </row>
    <row r="171" spans="1:10" ht="12.75">
      <c r="A171" s="74" t="s">
        <v>842</v>
      </c>
      <c r="B171" s="74"/>
      <c r="C171" s="267" t="str">
        <f aca="true" t="shared" si="10" ref="C171:I171">IF(ROUND(C$37-SUM(C$33:C$36),3)=0,"OK","ERROR")</f>
        <v>OK</v>
      </c>
      <c r="D171" s="267" t="str">
        <f t="shared" si="10"/>
        <v>OK</v>
      </c>
      <c r="E171" s="156" t="str">
        <f t="shared" si="10"/>
        <v>OK</v>
      </c>
      <c r="F171" s="156" t="str">
        <f t="shared" si="10"/>
        <v>OK</v>
      </c>
      <c r="G171" s="156" t="str">
        <f t="shared" si="10"/>
        <v>OK</v>
      </c>
      <c r="H171" s="156" t="str">
        <f t="shared" si="10"/>
        <v>OK</v>
      </c>
      <c r="I171" s="156" t="str">
        <f t="shared" si="10"/>
        <v>OK</v>
      </c>
      <c r="J171" s="58"/>
    </row>
    <row r="172" spans="1:10" ht="12.75">
      <c r="A172" s="74" t="s">
        <v>843</v>
      </c>
      <c r="B172" s="74"/>
      <c r="C172" s="267" t="str">
        <f aca="true" t="shared" si="11" ref="C172:I172">IF(ROUND(C$83-(C$73-C$82),3)=0,"OK","ERROR")</f>
        <v>OK</v>
      </c>
      <c r="D172" s="267" t="str">
        <f>IF(ROUND(D$83-(D$73-D$82),3)=0,"OK","ERROR")</f>
        <v>OK</v>
      </c>
      <c r="E172" s="156" t="str">
        <f>IF(ROUND(E$83-(E$73-E$82),3)=0,"OK","ERROR")</f>
        <v>OK</v>
      </c>
      <c r="F172" s="156" t="str">
        <f t="shared" si="11"/>
        <v>OK</v>
      </c>
      <c r="G172" s="156" t="str">
        <f t="shared" si="11"/>
        <v>OK</v>
      </c>
      <c r="H172" s="156" t="str">
        <f t="shared" si="11"/>
        <v>OK</v>
      </c>
      <c r="I172" s="156" t="str">
        <f t="shared" si="11"/>
        <v>OK</v>
      </c>
      <c r="J172" s="58"/>
    </row>
    <row r="173" spans="1:10" ht="12.75">
      <c r="A173" s="74" t="s">
        <v>844</v>
      </c>
      <c r="B173" s="74"/>
      <c r="C173" s="267" t="str">
        <f aca="true" t="shared" si="12" ref="C173:I173">IF(ROUND(C$92-SUM(C$77,C$78),3)=0,"OK","ERROR")</f>
        <v>OK</v>
      </c>
      <c r="D173" s="267" t="str">
        <f t="shared" si="12"/>
        <v>OK</v>
      </c>
      <c r="E173" s="156" t="str">
        <f t="shared" si="12"/>
        <v>OK</v>
      </c>
      <c r="F173" s="156" t="str">
        <f t="shared" si="12"/>
        <v>OK</v>
      </c>
      <c r="G173" s="156" t="str">
        <f t="shared" si="12"/>
        <v>OK</v>
      </c>
      <c r="H173" s="156" t="str">
        <f t="shared" si="12"/>
        <v>OK</v>
      </c>
      <c r="I173" s="156" t="str">
        <f t="shared" si="12"/>
        <v>OK</v>
      </c>
      <c r="J173" s="58"/>
    </row>
    <row r="174" spans="1:10" ht="12.75">
      <c r="A174" s="74" t="s">
        <v>845</v>
      </c>
      <c r="B174" s="74"/>
      <c r="C174" s="267" t="str">
        <f aca="true" t="shared" si="13" ref="C174:I174">IF(ROUND(C$92-SUM(C$101,C$102),3)=0,"OK","ERROR")</f>
        <v>OK</v>
      </c>
      <c r="D174" s="267" t="str">
        <f t="shared" si="13"/>
        <v>OK</v>
      </c>
      <c r="E174" s="156" t="str">
        <f t="shared" si="13"/>
        <v>OK</v>
      </c>
      <c r="F174" s="156" t="str">
        <f t="shared" si="13"/>
        <v>OK</v>
      </c>
      <c r="G174" s="156" t="str">
        <f t="shared" si="13"/>
        <v>OK</v>
      </c>
      <c r="H174" s="156" t="str">
        <f t="shared" si="13"/>
        <v>OK</v>
      </c>
      <c r="I174" s="156" t="str">
        <f t="shared" si="13"/>
        <v>OK</v>
      </c>
      <c r="J174" s="58"/>
    </row>
    <row r="175" spans="1:10" ht="12.75">
      <c r="A175" s="74" t="s">
        <v>852</v>
      </c>
      <c r="B175" s="74"/>
      <c r="C175" s="267" t="str">
        <f aca="true" t="shared" si="14" ref="C175:I175">IF(ROUND(C$114-(C$110-C$58+C$113),3)=0,"OK","ERROR")</f>
        <v>OK</v>
      </c>
      <c r="D175" s="267" t="str">
        <f t="shared" si="14"/>
        <v>OK</v>
      </c>
      <c r="E175" s="156" t="str">
        <f t="shared" si="14"/>
        <v>OK</v>
      </c>
      <c r="F175" s="156" t="str">
        <f t="shared" si="14"/>
        <v>OK</v>
      </c>
      <c r="G175" s="156" t="str">
        <f t="shared" si="14"/>
        <v>OK</v>
      </c>
      <c r="H175" s="156" t="str">
        <f t="shared" si="14"/>
        <v>OK</v>
      </c>
      <c r="I175" s="156" t="str">
        <f t="shared" si="14"/>
        <v>OK</v>
      </c>
      <c r="J175" s="58"/>
    </row>
    <row r="176" spans="1:14" ht="12.75">
      <c r="A176" s="74" t="s">
        <v>909</v>
      </c>
      <c r="B176" s="74"/>
      <c r="C176" s="267" t="str">
        <f aca="true" t="shared" si="15" ref="C176:I176">IF(ROUND(C$129-(SUM(C$71:C$72,C$115:C$119,C$122:C$125)-SUM(C$93,C$126:C$128)),3)=0,"OK","ERROR")</f>
        <v>OK</v>
      </c>
      <c r="D176" s="267" t="str">
        <f>IF(ROUND(D$129-(SUM(D$71:D$72,D$115:D$119,D$122:D$125)-SUM(D$93,D$126:D$128)),3)=0,"OK","ERROR")</f>
        <v>OK</v>
      </c>
      <c r="E176" s="156" t="str">
        <f>IF(ROUND(E$129-(SUM(E$71:E$72,E$115:E$119,E$122:E$125)-SUM(E$93,E$126:E$128)),3)=0,"OK","ERROR")</f>
        <v>OK</v>
      </c>
      <c r="F176" s="156" t="str">
        <f t="shared" si="15"/>
        <v>OK</v>
      </c>
      <c r="G176" s="156" t="str">
        <f t="shared" si="15"/>
        <v>OK</v>
      </c>
      <c r="H176" s="156" t="str">
        <f t="shared" si="15"/>
        <v>OK</v>
      </c>
      <c r="I176" s="156" t="str">
        <f t="shared" si="15"/>
        <v>OK</v>
      </c>
      <c r="J176" s="58"/>
      <c r="K176" s="58"/>
      <c r="L176" s="58"/>
      <c r="M176" s="58"/>
      <c r="N176" s="58"/>
    </row>
    <row r="177" spans="1:10" ht="12.75">
      <c r="A177" s="74" t="s">
        <v>853</v>
      </c>
      <c r="B177" s="74"/>
      <c r="C177" s="267" t="str">
        <f aca="true" t="shared" si="16" ref="C177:I177">IF(ROUND(C$5-SUM(C$131:C$138),3)=0,"OK","ERROR")</f>
        <v>OK</v>
      </c>
      <c r="D177" s="267" t="str">
        <f t="shared" si="16"/>
        <v>OK</v>
      </c>
      <c r="E177" s="156" t="str">
        <f t="shared" si="16"/>
        <v>OK</v>
      </c>
      <c r="F177" s="156" t="str">
        <f t="shared" si="16"/>
        <v>OK</v>
      </c>
      <c r="G177" s="156" t="str">
        <f t="shared" si="16"/>
        <v>OK</v>
      </c>
      <c r="H177" s="156" t="str">
        <f t="shared" si="16"/>
        <v>OK</v>
      </c>
      <c r="I177" s="156" t="str">
        <f t="shared" si="16"/>
        <v>OK</v>
      </c>
      <c r="J177" s="58"/>
    </row>
    <row r="178" spans="1:10" ht="12.75">
      <c r="A178" s="74" t="s">
        <v>857</v>
      </c>
      <c r="B178" s="74"/>
      <c r="C178" s="267" t="str">
        <f aca="true" t="shared" si="17" ref="C178:I178">IF(ROUND(C$14-(C$39+C$111-C$112),3)=0,"OK","ERROR")</f>
        <v>OK</v>
      </c>
      <c r="D178" s="267" t="str">
        <f t="shared" si="17"/>
        <v>OK</v>
      </c>
      <c r="E178" s="156" t="str">
        <f t="shared" si="17"/>
        <v>OK</v>
      </c>
      <c r="F178" s="156" t="str">
        <f t="shared" si="17"/>
        <v>OK</v>
      </c>
      <c r="G178" s="156" t="str">
        <f t="shared" si="17"/>
        <v>OK</v>
      </c>
      <c r="H178" s="156" t="str">
        <f t="shared" si="17"/>
        <v>OK</v>
      </c>
      <c r="I178" s="156" t="str">
        <f t="shared" si="17"/>
        <v>OK</v>
      </c>
      <c r="J178" s="58"/>
    </row>
    <row r="179" spans="1:10" ht="12.75">
      <c r="A179" s="74" t="s">
        <v>14</v>
      </c>
      <c r="B179" s="74"/>
      <c r="C179" s="267" t="str">
        <f aca="true" t="shared" si="18" ref="C179:I179">IF(ROUND(SUM(C$115:C$116,C$118)-SUM(C$148:C$150),3)=0,"OK","ERROR")</f>
        <v>OK</v>
      </c>
      <c r="D179" s="267" t="str">
        <f>IF(ROUND(SUM(D$115:D$116,D$118)-SUM(D$148:D$150),3)=0,"OK","ERROR")</f>
        <v>OK</v>
      </c>
      <c r="E179" s="156" t="str">
        <f>IF(ROUND(SUM(E$115:E$116,E$118)-SUM(E$148:E$150),3)=0,"OK","ERROR")</f>
        <v>OK</v>
      </c>
      <c r="F179" s="156" t="str">
        <f t="shared" si="18"/>
        <v>OK</v>
      </c>
      <c r="G179" s="156" t="str">
        <f t="shared" si="18"/>
        <v>OK</v>
      </c>
      <c r="H179" s="156" t="str">
        <f t="shared" si="18"/>
        <v>OK</v>
      </c>
      <c r="I179" s="156" t="str">
        <f t="shared" si="18"/>
        <v>OK</v>
      </c>
      <c r="J179" s="58"/>
    </row>
    <row r="180" spans="1:9" ht="12.75">
      <c r="A180" s="74" t="s">
        <v>881</v>
      </c>
      <c r="B180" s="74"/>
      <c r="C180" s="267" t="str">
        <f aca="true" t="shared" si="19" ref="C180:I180">IF(ROUND(C$68-SUM(C$119:C$121),3)=0,"OK","ERROR")</f>
        <v>OK</v>
      </c>
      <c r="D180" s="267" t="str">
        <f t="shared" si="19"/>
        <v>OK</v>
      </c>
      <c r="E180" s="156" t="str">
        <f t="shared" si="19"/>
        <v>OK</v>
      </c>
      <c r="F180" s="156" t="str">
        <f t="shared" si="19"/>
        <v>OK</v>
      </c>
      <c r="G180" s="156" t="str">
        <f t="shared" si="19"/>
        <v>OK</v>
      </c>
      <c r="H180" s="156" t="str">
        <f t="shared" si="19"/>
        <v>OK</v>
      </c>
      <c r="I180" s="156" t="str">
        <f t="shared" si="19"/>
        <v>OK</v>
      </c>
    </row>
    <row r="181" spans="1:9" ht="12.75">
      <c r="A181" s="74" t="s">
        <v>509</v>
      </c>
      <c r="B181" s="74"/>
      <c r="C181" s="267" t="str">
        <f>IF(ROUND(D$160-(SUM(C$160,C$161,C$164,C$166)-SUM(C$162,C$163,C$165)),3)=0,"OK","ERROR")</f>
        <v>OK</v>
      </c>
      <c r="D181" s="267" t="str">
        <f>IF(ROUND(D$167-(SUM(D$160,D$161,D$164,D$166)-SUM(D$162,D$163,D$165)),3)=0,"OK","ERROR")</f>
        <v>OK</v>
      </c>
      <c r="E181" s="156" t="str">
        <f>IF(ROUND(F$160-(SUM(E$160,E$161,E$164,E$166)-SUM(E$162,E$163,E$165)),3)=0,"OK","ERROR")</f>
        <v>OK</v>
      </c>
      <c r="F181" s="156" t="str">
        <f>IF(ROUND(G$160-(SUM(F$160,F$161,F$164,F$166)-SUM(F$162,F$163,F$165)),3)=0,"OK","ERROR")</f>
        <v>OK</v>
      </c>
      <c r="G181" s="156" t="str">
        <f>IF(ROUND(H$160-(SUM(G$160,G$161,G$164,G$166)-SUM(G$162,G$163,G$165)),3)=0,"OK","ERROR")</f>
        <v>OK</v>
      </c>
      <c r="H181" s="156" t="str">
        <f>IF(ROUND(I$160-(SUM(H$160,H$161,H$164,H$166)-SUM(H$162,H$163,H$165)),3)=0,"OK","ERROR")</f>
        <v>OK</v>
      </c>
      <c r="I181" s="156"/>
    </row>
    <row r="182" spans="1:9" ht="12.75">
      <c r="A182" s="73"/>
      <c r="B182" s="73"/>
      <c r="C182" s="164"/>
      <c r="D182" s="164"/>
      <c r="E182" s="164"/>
      <c r="F182" s="164"/>
      <c r="G182" s="164"/>
      <c r="H182" s="164"/>
      <c r="I182" s="164"/>
    </row>
    <row r="183" spans="1:9" ht="15.75">
      <c r="A183" s="72" t="s">
        <v>856</v>
      </c>
      <c r="B183" s="72"/>
      <c r="D183" s="146"/>
      <c r="E183" s="146"/>
      <c r="F183" s="146"/>
      <c r="G183" s="146"/>
      <c r="H183" s="146"/>
      <c r="I183" s="146"/>
    </row>
    <row r="184" spans="1:9" ht="12.75">
      <c r="A184" s="98" t="s">
        <v>189</v>
      </c>
      <c r="B184" s="98"/>
      <c r="C184" s="268">
        <v>52</v>
      </c>
      <c r="D184" s="268">
        <v>37</v>
      </c>
      <c r="E184" s="375">
        <v>39</v>
      </c>
      <c r="F184" s="375">
        <v>45</v>
      </c>
      <c r="G184" s="375">
        <v>45</v>
      </c>
      <c r="H184" s="375">
        <v>40</v>
      </c>
      <c r="I184" s="375">
        <v>38</v>
      </c>
    </row>
    <row r="185" spans="1:9" ht="12.75">
      <c r="A185" s="98" t="s">
        <v>594</v>
      </c>
      <c r="B185" s="98"/>
      <c r="C185" s="269">
        <v>645.82</v>
      </c>
      <c r="D185" s="269">
        <v>664.02</v>
      </c>
      <c r="E185" s="157">
        <v>711.77</v>
      </c>
      <c r="F185" s="157">
        <v>742.41</v>
      </c>
      <c r="G185" s="157">
        <v>777.08</v>
      </c>
      <c r="H185" s="157">
        <v>801.55</v>
      </c>
      <c r="I185" s="157">
        <v>824.99</v>
      </c>
    </row>
    <row r="186" spans="1:9" ht="12.75">
      <c r="A186" s="98" t="s">
        <v>596</v>
      </c>
      <c r="B186" s="98"/>
      <c r="C186" s="269">
        <v>213.12</v>
      </c>
      <c r="D186" s="269">
        <v>219.9</v>
      </c>
      <c r="E186" s="157">
        <v>241.62</v>
      </c>
      <c r="F186" s="157">
        <v>247.66</v>
      </c>
      <c r="G186" s="157">
        <v>253.48</v>
      </c>
      <c r="H186" s="157">
        <v>260.5</v>
      </c>
      <c r="I186" s="157">
        <v>268.12</v>
      </c>
    </row>
    <row r="187" spans="1:9" ht="12.75">
      <c r="A187" s="98" t="s">
        <v>922</v>
      </c>
      <c r="B187" s="98"/>
      <c r="C187" s="270">
        <v>1.268</v>
      </c>
      <c r="D187" s="270">
        <v>1.383</v>
      </c>
      <c r="E187" s="369">
        <v>1.292393</v>
      </c>
      <c r="F187" s="369">
        <v>1.321248</v>
      </c>
      <c r="G187" s="369">
        <v>1.332607</v>
      </c>
      <c r="H187" s="369">
        <v>1.399088</v>
      </c>
      <c r="I187" s="369">
        <v>1.495938</v>
      </c>
    </row>
    <row r="188" spans="1:9" ht="12.75">
      <c r="A188" s="73"/>
      <c r="B188" s="73"/>
      <c r="C188" s="120"/>
      <c r="D188" s="120"/>
      <c r="E188" s="468"/>
      <c r="F188" s="468"/>
      <c r="G188" s="468"/>
      <c r="H188" s="468"/>
      <c r="I188" s="468"/>
    </row>
    <row r="189" spans="1:9" ht="15.75">
      <c r="A189" s="72" t="s">
        <v>933</v>
      </c>
      <c r="B189" s="72"/>
      <c r="C189" s="223"/>
      <c r="D189" s="223"/>
      <c r="E189" s="469"/>
      <c r="F189" s="469"/>
      <c r="G189" s="469"/>
      <c r="H189" s="469"/>
      <c r="I189" s="469"/>
    </row>
    <row r="190" spans="1:10" ht="12.75">
      <c r="A190" s="98" t="s">
        <v>700</v>
      </c>
      <c r="B190" s="98"/>
      <c r="C190" s="481">
        <v>0.119</v>
      </c>
      <c r="D190" s="481">
        <v>0.097</v>
      </c>
      <c r="E190" s="376">
        <v>0.138</v>
      </c>
      <c r="F190" s="376">
        <v>0.149</v>
      </c>
      <c r="G190" s="376">
        <v>0.173</v>
      </c>
      <c r="H190" s="377">
        <v>0.198</v>
      </c>
      <c r="I190" s="377">
        <v>0.22</v>
      </c>
      <c r="J190" s="471"/>
    </row>
    <row r="191" spans="1:16" ht="12.75">
      <c r="A191" s="98" t="s">
        <v>732</v>
      </c>
      <c r="B191" s="98"/>
      <c r="C191" s="481">
        <v>0.017119000000000002</v>
      </c>
      <c r="D191" s="481">
        <v>0.037565</v>
      </c>
      <c r="E191" s="377">
        <v>0.035134</v>
      </c>
      <c r="F191" s="377">
        <v>0.039605</v>
      </c>
      <c r="G191" s="377">
        <v>0.044326</v>
      </c>
      <c r="H191" s="377">
        <v>0.049954</v>
      </c>
      <c r="I191" s="377">
        <v>0.057852</v>
      </c>
      <c r="J191" s="271"/>
      <c r="K191" s="271"/>
      <c r="L191" s="158"/>
      <c r="M191" s="158"/>
      <c r="N191" s="158"/>
      <c r="O191" s="158"/>
      <c r="P191" s="158"/>
    </row>
    <row r="192" spans="1:16" ht="12.75">
      <c r="A192" s="98" t="s">
        <v>128</v>
      </c>
      <c r="B192" s="98"/>
      <c r="C192" s="482">
        <v>0.37689700000000004</v>
      </c>
      <c r="D192" s="482">
        <v>0.528622</v>
      </c>
      <c r="E192" s="376">
        <v>0.567037</v>
      </c>
      <c r="F192" s="376">
        <v>0.609506</v>
      </c>
      <c r="G192" s="376">
        <v>0.651503</v>
      </c>
      <c r="H192" s="377">
        <v>0.684283</v>
      </c>
      <c r="I192" s="377">
        <v>0.703406</v>
      </c>
      <c r="J192" s="76"/>
      <c r="K192" s="76"/>
      <c r="L192" s="75"/>
      <c r="M192" s="75"/>
      <c r="N192" s="75"/>
      <c r="O192" s="75"/>
      <c r="P192" s="158"/>
    </row>
    <row r="193" spans="1:16" ht="12.75">
      <c r="A193" s="98" t="s">
        <v>0</v>
      </c>
      <c r="B193" s="98"/>
      <c r="C193" s="482">
        <v>0.002378</v>
      </c>
      <c r="D193" s="482">
        <v>0.112836</v>
      </c>
      <c r="E193" s="376">
        <v>0.12086000000000001</v>
      </c>
      <c r="F193" s="376">
        <v>0.129731</v>
      </c>
      <c r="G193" s="376">
        <v>0.13850300000000001</v>
      </c>
      <c r="H193" s="377">
        <v>0.14535</v>
      </c>
      <c r="I193" s="377">
        <v>0.149344</v>
      </c>
      <c r="J193" s="76"/>
      <c r="K193" s="76"/>
      <c r="L193" s="75"/>
      <c r="M193" s="75"/>
      <c r="N193" s="75"/>
      <c r="O193" s="75"/>
      <c r="P193" s="158"/>
    </row>
    <row r="194" spans="1:16" ht="12.75">
      <c r="A194" s="98" t="s">
        <v>744</v>
      </c>
      <c r="B194" s="98"/>
      <c r="C194" s="482">
        <v>4.231942</v>
      </c>
      <c r="D194" s="482">
        <v>4.89606</v>
      </c>
      <c r="E194" s="376">
        <v>5.037899</v>
      </c>
      <c r="F194" s="376">
        <v>5.237845</v>
      </c>
      <c r="G194" s="376">
        <v>5.587463</v>
      </c>
      <c r="H194" s="377">
        <v>5.970867</v>
      </c>
      <c r="I194" s="377">
        <v>6.351827</v>
      </c>
      <c r="J194" s="76"/>
      <c r="K194" s="76"/>
      <c r="L194" s="75"/>
      <c r="M194" s="75"/>
      <c r="N194" s="75"/>
      <c r="O194" s="75"/>
      <c r="P194" s="158"/>
    </row>
    <row r="195" spans="1:16" s="108" customFormat="1" ht="12.75">
      <c r="A195" s="98" t="s">
        <v>129</v>
      </c>
      <c r="B195" s="98"/>
      <c r="C195" s="482">
        <v>0.130559</v>
      </c>
      <c r="D195" s="482">
        <v>0.35414399999999996</v>
      </c>
      <c r="E195" s="376">
        <v>0.28163699999999997</v>
      </c>
      <c r="F195" s="376">
        <v>0.295853</v>
      </c>
      <c r="G195" s="376">
        <v>0.312214</v>
      </c>
      <c r="H195" s="377">
        <v>0.32958200000000004</v>
      </c>
      <c r="I195" s="377">
        <v>0.34802099999999997</v>
      </c>
      <c r="J195" s="76"/>
      <c r="K195" s="76"/>
      <c r="L195" s="75"/>
      <c r="M195" s="75"/>
      <c r="N195" s="75"/>
      <c r="O195" s="75"/>
      <c r="P195" s="158"/>
    </row>
    <row r="196" spans="1:16" s="108" customFormat="1" ht="12.75">
      <c r="A196" s="98" t="s">
        <v>1</v>
      </c>
      <c r="B196" s="98"/>
      <c r="C196" s="482">
        <v>0.076278</v>
      </c>
      <c r="D196" s="482">
        <v>0.29969199999999996</v>
      </c>
      <c r="E196" s="376">
        <v>0.23570000000000002</v>
      </c>
      <c r="F196" s="376">
        <v>0.248965</v>
      </c>
      <c r="G196" s="376">
        <v>0.264316</v>
      </c>
      <c r="H196" s="377">
        <v>0.280611</v>
      </c>
      <c r="I196" s="377">
        <v>0.29790999999999995</v>
      </c>
      <c r="J196" s="76"/>
      <c r="K196" s="76"/>
      <c r="L196" s="75"/>
      <c r="M196" s="75"/>
      <c r="N196" s="75"/>
      <c r="O196" s="75"/>
      <c r="P196" s="158"/>
    </row>
    <row r="197" spans="1:16" ht="12.75">
      <c r="A197" s="98" t="s">
        <v>807</v>
      </c>
      <c r="B197" s="98"/>
      <c r="C197" s="482">
        <v>21.536829</v>
      </c>
      <c r="D197" s="482">
        <v>25.795337</v>
      </c>
      <c r="E197" s="376">
        <v>20.731849</v>
      </c>
      <c r="F197" s="376">
        <v>17.784813999999997</v>
      </c>
      <c r="G197" s="376">
        <v>20.586243999999997</v>
      </c>
      <c r="H197" s="377">
        <v>18.662854</v>
      </c>
      <c r="I197" s="377">
        <v>16.544641</v>
      </c>
      <c r="J197" s="76"/>
      <c r="K197" s="76"/>
      <c r="L197" s="75"/>
      <c r="M197" s="75"/>
      <c r="N197" s="75"/>
      <c r="O197" s="75"/>
      <c r="P197" s="158"/>
    </row>
    <row r="198" spans="1:16" ht="12.75">
      <c r="A198" s="98" t="s">
        <v>510</v>
      </c>
      <c r="B198" s="98"/>
      <c r="C198" s="378">
        <v>10.335</v>
      </c>
      <c r="D198" s="378">
        <v>11.026</v>
      </c>
      <c r="E198" s="75">
        <v>11.938</v>
      </c>
      <c r="F198" s="75">
        <v>12.337</v>
      </c>
      <c r="G198" s="75">
        <v>12.971</v>
      </c>
      <c r="H198" s="158">
        <v>13.415</v>
      </c>
      <c r="I198" s="158">
        <v>13.882</v>
      </c>
      <c r="J198" s="471"/>
      <c r="K198" s="378"/>
      <c r="L198" s="75"/>
      <c r="M198" s="75"/>
      <c r="N198" s="75"/>
      <c r="O198" s="75"/>
      <c r="P198" s="75"/>
    </row>
    <row r="199" spans="1:16" ht="12.75">
      <c r="A199" s="98" t="s">
        <v>805</v>
      </c>
      <c r="B199" s="98"/>
      <c r="C199" s="76">
        <v>0.317</v>
      </c>
      <c r="D199" s="76">
        <v>0.701</v>
      </c>
      <c r="E199" s="373">
        <v>0.225</v>
      </c>
      <c r="F199" s="373">
        <v>0.516</v>
      </c>
      <c r="G199" s="373">
        <v>0.43</v>
      </c>
      <c r="H199" s="376">
        <v>0.387</v>
      </c>
      <c r="I199" s="376">
        <v>0.414</v>
      </c>
      <c r="J199" s="471"/>
      <c r="K199" s="76"/>
      <c r="L199" s="75"/>
      <c r="M199" s="75"/>
      <c r="N199" s="75"/>
      <c r="O199" s="75"/>
      <c r="P199" s="158"/>
    </row>
    <row r="200" spans="1:16" ht="12.75">
      <c r="A200" s="98" t="s">
        <v>806</v>
      </c>
      <c r="B200" s="98"/>
      <c r="C200" s="76">
        <v>0.004</v>
      </c>
      <c r="D200" s="76">
        <v>0</v>
      </c>
      <c r="E200" s="472">
        <v>0</v>
      </c>
      <c r="F200" s="472">
        <v>0</v>
      </c>
      <c r="G200" s="472">
        <v>0</v>
      </c>
      <c r="H200" s="472">
        <v>0</v>
      </c>
      <c r="I200" s="472">
        <v>0</v>
      </c>
      <c r="J200" s="471"/>
      <c r="K200" s="76"/>
      <c r="L200" s="75"/>
      <c r="M200" s="75"/>
      <c r="N200" s="75"/>
      <c r="O200" s="75"/>
      <c r="P200" s="158"/>
    </row>
    <row r="201" spans="1:16" ht="12.75">
      <c r="A201" s="98" t="s">
        <v>15</v>
      </c>
      <c r="B201" s="98"/>
      <c r="C201" s="378">
        <v>1.3383470000000002</v>
      </c>
      <c r="D201" s="378">
        <v>0.53806</v>
      </c>
      <c r="E201" s="376">
        <v>0.771733</v>
      </c>
      <c r="F201" s="376">
        <v>1.495438</v>
      </c>
      <c r="G201" s="376">
        <v>1.821384</v>
      </c>
      <c r="H201" s="377">
        <v>2.156039</v>
      </c>
      <c r="I201" s="377">
        <v>2.490901</v>
      </c>
      <c r="J201" s="378"/>
      <c r="K201" s="378"/>
      <c r="L201" s="75"/>
      <c r="M201" s="75"/>
      <c r="N201" s="75"/>
      <c r="O201" s="75"/>
      <c r="P201" s="158"/>
    </row>
    <row r="202" spans="1:16" ht="12.75">
      <c r="A202" s="98" t="s">
        <v>954</v>
      </c>
      <c r="B202" s="98"/>
      <c r="C202" s="378">
        <v>0.205</v>
      </c>
      <c r="D202" s="378">
        <v>0.205</v>
      </c>
      <c r="E202" s="376">
        <v>0.205</v>
      </c>
      <c r="F202" s="376">
        <v>0.205</v>
      </c>
      <c r="G202" s="376">
        <v>0.205</v>
      </c>
      <c r="H202" s="377">
        <v>0.205</v>
      </c>
      <c r="I202" s="377">
        <v>0.205</v>
      </c>
      <c r="J202" s="378"/>
      <c r="K202" s="378"/>
      <c r="L202" s="75"/>
      <c r="M202" s="75"/>
      <c r="N202" s="75"/>
      <c r="O202" s="75"/>
      <c r="P202" s="158"/>
    </row>
    <row r="203" spans="1:9" ht="12.75">
      <c r="A203" s="98"/>
      <c r="B203" s="98"/>
      <c r="C203" s="76"/>
      <c r="D203" s="76"/>
      <c r="E203" s="75"/>
      <c r="F203" s="75"/>
      <c r="G203" s="75"/>
      <c r="H203" s="158"/>
      <c r="I203" s="158"/>
    </row>
    <row r="204" spans="1:9" ht="15.75">
      <c r="A204" s="72" t="s">
        <v>734</v>
      </c>
      <c r="B204" s="72"/>
      <c r="C204" s="34" t="s">
        <v>257</v>
      </c>
      <c r="D204" s="34" t="s">
        <v>258</v>
      </c>
      <c r="E204" s="151" t="s">
        <v>259</v>
      </c>
      <c r="F204" s="151" t="s">
        <v>66</v>
      </c>
      <c r="G204" s="151" t="s">
        <v>261</v>
      </c>
      <c r="H204" s="151" t="s">
        <v>262</v>
      </c>
      <c r="I204" s="151" t="s">
        <v>263</v>
      </c>
    </row>
    <row r="205" spans="1:9" ht="12.75">
      <c r="A205" s="73" t="s">
        <v>605</v>
      </c>
      <c r="B205" s="73"/>
      <c r="C205" s="479">
        <v>131.562</v>
      </c>
      <c r="D205" s="479">
        <v>134.60788961964735</v>
      </c>
      <c r="E205" s="467">
        <v>134.8398687425332</v>
      </c>
      <c r="F205" s="467">
        <v>137.931742601089</v>
      </c>
      <c r="G205" s="467">
        <v>142.60943094334755</v>
      </c>
      <c r="H205" s="467">
        <v>147.4449609185727</v>
      </c>
      <c r="I205" s="467">
        <v>151.97579280481264</v>
      </c>
    </row>
    <row r="206" spans="1:9" ht="12.75">
      <c r="A206" s="73" t="s">
        <v>555</v>
      </c>
      <c r="B206" s="73"/>
      <c r="C206" s="479">
        <v>168.672</v>
      </c>
      <c r="D206" s="479">
        <v>180.0773001920602</v>
      </c>
      <c r="E206" s="467">
        <v>184.3896229064544</v>
      </c>
      <c r="F206" s="467">
        <v>190.71261622062738</v>
      </c>
      <c r="G206" s="467">
        <v>199.88097132242692</v>
      </c>
      <c r="H206" s="467">
        <v>210.20457981796744</v>
      </c>
      <c r="I206" s="467">
        <v>220.57390730090705</v>
      </c>
    </row>
    <row r="207" spans="1:9" ht="12.75">
      <c r="A207" s="73" t="s">
        <v>556</v>
      </c>
      <c r="B207" s="73"/>
      <c r="C207" s="272">
        <v>1020</v>
      </c>
      <c r="D207" s="272">
        <v>1061</v>
      </c>
      <c r="E207" s="467">
        <v>1097.159</v>
      </c>
      <c r="F207" s="467">
        <v>1121.972</v>
      </c>
      <c r="G207" s="467">
        <v>1148.946</v>
      </c>
      <c r="H207" s="467">
        <v>1177.13</v>
      </c>
      <c r="I207" s="467">
        <v>1205.625</v>
      </c>
    </row>
    <row r="208" spans="1:9" ht="12.75">
      <c r="A208" s="73" t="s">
        <v>603</v>
      </c>
      <c r="B208" s="73"/>
      <c r="C208" s="479">
        <v>0.06313433333333333</v>
      </c>
      <c r="D208" s="479">
        <v>0.06440033333333334</v>
      </c>
      <c r="E208" s="328">
        <v>0.063</v>
      </c>
      <c r="F208" s="328">
        <v>0.063</v>
      </c>
      <c r="G208" s="328">
        <v>0.062</v>
      </c>
      <c r="H208" s="328">
        <v>0.0605</v>
      </c>
      <c r="I208" s="328">
        <v>0.06</v>
      </c>
    </row>
    <row r="209" spans="1:9" ht="12.75">
      <c r="A209" s="73" t="s">
        <v>557</v>
      </c>
      <c r="B209" s="73"/>
      <c r="C209" s="479">
        <v>2.2168</v>
      </c>
      <c r="D209" s="479">
        <v>2.2395</v>
      </c>
      <c r="E209" s="327">
        <v>2.2595</v>
      </c>
      <c r="F209" s="327">
        <v>2.2726</v>
      </c>
      <c r="G209" s="327">
        <v>2.2874</v>
      </c>
      <c r="H209" s="327">
        <v>2.3119</v>
      </c>
      <c r="I209" s="327">
        <v>2.3438</v>
      </c>
    </row>
    <row r="210" spans="1:9" ht="12.75">
      <c r="A210" s="73" t="s">
        <v>558</v>
      </c>
      <c r="B210" s="73"/>
      <c r="C210" s="479">
        <v>0.037</v>
      </c>
      <c r="D210" s="479">
        <v>0.036</v>
      </c>
      <c r="E210" s="328">
        <v>0.043</v>
      </c>
      <c r="F210" s="328">
        <v>0.05</v>
      </c>
      <c r="G210" s="328">
        <v>0.051</v>
      </c>
      <c r="H210" s="328">
        <v>0.049</v>
      </c>
      <c r="I210" s="328">
        <v>0.046</v>
      </c>
    </row>
    <row r="211" spans="1:9" ht="12.75">
      <c r="A211" s="73" t="s">
        <v>559</v>
      </c>
      <c r="B211" s="73"/>
      <c r="C211" s="273">
        <v>38.1</v>
      </c>
      <c r="D211" s="273">
        <v>38</v>
      </c>
      <c r="E211" s="160">
        <v>37.9</v>
      </c>
      <c r="F211" s="160">
        <v>37.9</v>
      </c>
      <c r="G211" s="160">
        <v>37.9</v>
      </c>
      <c r="H211" s="160">
        <v>37.9</v>
      </c>
      <c r="I211" s="160">
        <v>37.9</v>
      </c>
    </row>
    <row r="212" spans="1:9" ht="12.75">
      <c r="A212" s="73" t="s">
        <v>663</v>
      </c>
      <c r="B212" s="73"/>
      <c r="C212" s="274">
        <v>0.006613849658310245</v>
      </c>
      <c r="D212" s="274">
        <v>0.015637265146052907</v>
      </c>
      <c r="E212" s="159">
        <v>0.0016582884400579978</v>
      </c>
      <c r="F212" s="159">
        <v>0.02525068175436629</v>
      </c>
      <c r="G212" s="159">
        <v>0.027003236945545295</v>
      </c>
      <c r="H212" s="159">
        <v>0.018991748995962343</v>
      </c>
      <c r="I212" s="159">
        <v>0.012005309209479398</v>
      </c>
    </row>
    <row r="213" spans="1:9" ht="12.75">
      <c r="A213" s="73" t="s">
        <v>664</v>
      </c>
      <c r="B213" s="73"/>
      <c r="C213" s="274">
        <v>0.04717530576587059</v>
      </c>
      <c r="D213" s="274">
        <v>0.045050055617352536</v>
      </c>
      <c r="E213" s="159">
        <v>0.05373624325715176</v>
      </c>
      <c r="F213" s="159">
        <v>0.04090893563117626</v>
      </c>
      <c r="G213" s="159">
        <v>0.03980505510908294</v>
      </c>
      <c r="H213" s="159">
        <v>0.0373937743803614</v>
      </c>
      <c r="I213" s="159">
        <v>0.03474610910742859</v>
      </c>
    </row>
    <row r="214" spans="1:9" ht="12.75">
      <c r="A214" s="73" t="s">
        <v>665</v>
      </c>
      <c r="B214" s="73"/>
      <c r="C214" s="275">
        <v>832.54</v>
      </c>
      <c r="D214" s="275">
        <v>861.55</v>
      </c>
      <c r="E214" s="160">
        <v>908.9250770826491</v>
      </c>
      <c r="F214" s="160">
        <v>947.2599128643457</v>
      </c>
      <c r="G214" s="160">
        <v>985.1477476961195</v>
      </c>
      <c r="H214" s="160">
        <v>1022.3524448314602</v>
      </c>
      <c r="I214" s="160">
        <v>1058.1710607234047</v>
      </c>
    </row>
    <row r="216" spans="3:9" ht="12.75">
      <c r="C216"/>
      <c r="D216"/>
      <c r="E216"/>
      <c r="F216"/>
      <c r="G216"/>
      <c r="H216"/>
      <c r="I216"/>
    </row>
    <row r="217" spans="3:9" ht="12.75">
      <c r="C217"/>
      <c r="D217"/>
      <c r="E217"/>
      <c r="F217"/>
      <c r="G217"/>
      <c r="H217"/>
      <c r="I217"/>
    </row>
    <row r="218" spans="3:9" ht="12.75">
      <c r="C218"/>
      <c r="D218"/>
      <c r="E218"/>
      <c r="F218"/>
      <c r="G218"/>
      <c r="H218"/>
      <c r="I218"/>
    </row>
    <row r="219" spans="3:9" ht="12.75">
      <c r="C219"/>
      <c r="D219"/>
      <c r="E219"/>
      <c r="F219"/>
      <c r="G219"/>
      <c r="H219"/>
      <c r="I219"/>
    </row>
    <row r="220" spans="3:9" ht="12.75">
      <c r="C220"/>
      <c r="D220"/>
      <c r="E220"/>
      <c r="F220"/>
      <c r="G220"/>
      <c r="H220"/>
      <c r="I220"/>
    </row>
    <row r="221" spans="3:9" ht="12.75">
      <c r="C221"/>
      <c r="D221"/>
      <c r="E221"/>
      <c r="F221"/>
      <c r="G221"/>
      <c r="H221"/>
      <c r="I221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ignoredErrors>
    <ignoredError sqref="D181" formula="1"/>
    <ignoredError sqref="I204 I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F28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58" width="8.7109375" style="0" customWidth="1"/>
  </cols>
  <sheetData>
    <row r="1" spans="1:11" ht="18.75">
      <c r="A1" s="1" t="s">
        <v>530</v>
      </c>
      <c r="C1" s="432" t="s">
        <v>304</v>
      </c>
      <c r="E1" s="115" t="s">
        <v>305</v>
      </c>
      <c r="K1" t="s">
        <v>306</v>
      </c>
    </row>
    <row r="2" spans="3:58" ht="12.75">
      <c r="C2" s="15" t="s">
        <v>256</v>
      </c>
      <c r="D2" s="15" t="s">
        <v>257</v>
      </c>
      <c r="E2" s="15" t="s">
        <v>258</v>
      </c>
      <c r="F2" s="15" t="s">
        <v>259</v>
      </c>
      <c r="G2" s="15" t="s">
        <v>260</v>
      </c>
      <c r="H2" s="15" t="s">
        <v>261</v>
      </c>
      <c r="I2" s="15" t="s">
        <v>262</v>
      </c>
      <c r="J2" s="15" t="s">
        <v>263</v>
      </c>
      <c r="K2" s="450" t="s">
        <v>264</v>
      </c>
      <c r="L2" s="15" t="s">
        <v>265</v>
      </c>
      <c r="M2" s="15" t="s">
        <v>266</v>
      </c>
      <c r="N2" s="15" t="s">
        <v>267</v>
      </c>
      <c r="O2" s="15" t="s">
        <v>268</v>
      </c>
      <c r="P2" s="15" t="s">
        <v>269</v>
      </c>
      <c r="Q2" s="15" t="s">
        <v>270</v>
      </c>
      <c r="R2" s="15" t="s">
        <v>271</v>
      </c>
      <c r="S2" s="15" t="s">
        <v>272</v>
      </c>
      <c r="T2" s="15" t="s">
        <v>273</v>
      </c>
      <c r="U2" s="15" t="s">
        <v>277</v>
      </c>
      <c r="V2" s="15" t="s">
        <v>278</v>
      </c>
      <c r="W2" s="15" t="s">
        <v>279</v>
      </c>
      <c r="X2" s="15" t="s">
        <v>280</v>
      </c>
      <c r="Y2" s="15" t="s">
        <v>281</v>
      </c>
      <c r="Z2" s="15" t="s">
        <v>282</v>
      </c>
      <c r="AA2" s="15" t="s">
        <v>283</v>
      </c>
      <c r="AB2" s="15" t="s">
        <v>284</v>
      </c>
      <c r="AC2" s="15" t="s">
        <v>285</v>
      </c>
      <c r="AD2" s="15" t="s">
        <v>286</v>
      </c>
      <c r="AE2" s="15" t="s">
        <v>287</v>
      </c>
      <c r="AF2" s="15" t="s">
        <v>288</v>
      </c>
      <c r="AG2" s="15" t="s">
        <v>289</v>
      </c>
      <c r="AH2" s="15" t="s">
        <v>290</v>
      </c>
      <c r="AI2" s="15" t="s">
        <v>291</v>
      </c>
      <c r="AJ2" s="15" t="s">
        <v>292</v>
      </c>
      <c r="AK2" s="15" t="s">
        <v>293</v>
      </c>
      <c r="AL2" s="15" t="s">
        <v>294</v>
      </c>
      <c r="AM2" s="15" t="s">
        <v>295</v>
      </c>
      <c r="AN2" s="15" t="s">
        <v>296</v>
      </c>
      <c r="AO2" s="15" t="s">
        <v>297</v>
      </c>
      <c r="AP2" s="15" t="s">
        <v>298</v>
      </c>
      <c r="AQ2" s="15" t="s">
        <v>299</v>
      </c>
      <c r="AR2" s="15" t="s">
        <v>300</v>
      </c>
      <c r="AS2" s="15" t="s">
        <v>301</v>
      </c>
      <c r="AT2" s="15" t="s">
        <v>302</v>
      </c>
      <c r="AU2" s="15" t="s">
        <v>303</v>
      </c>
      <c r="AV2" s="15" t="s">
        <v>405</v>
      </c>
      <c r="AW2" s="15" t="s">
        <v>406</v>
      </c>
      <c r="AX2" s="15" t="s">
        <v>407</v>
      </c>
      <c r="AY2" s="15" t="s">
        <v>408</v>
      </c>
      <c r="AZ2" s="15" t="s">
        <v>410</v>
      </c>
      <c r="BA2" s="15" t="s">
        <v>411</v>
      </c>
      <c r="BB2" s="15" t="s">
        <v>412</v>
      </c>
      <c r="BC2" s="15" t="s">
        <v>413</v>
      </c>
      <c r="BD2" s="15" t="s">
        <v>414</v>
      </c>
      <c r="BE2" s="15" t="s">
        <v>415</v>
      </c>
      <c r="BF2" s="15" t="s">
        <v>416</v>
      </c>
    </row>
    <row r="4" spans="1:9" ht="18.75">
      <c r="A4" s="1" t="s">
        <v>103</v>
      </c>
      <c r="H4" s="433"/>
      <c r="I4" s="433"/>
    </row>
    <row r="5" spans="1:58" ht="15.75">
      <c r="A5" s="14" t="s">
        <v>104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58" ht="12.75">
      <c r="A6" s="117" t="s">
        <v>307</v>
      </c>
      <c r="B6" s="11"/>
      <c r="C6" s="200">
        <f aca="true" t="shared" si="0" ref="C6:AH6">SUM(C$9:C$99,C$103:C$193)/1000000</f>
        <v>4.18463</v>
      </c>
      <c r="D6" s="200">
        <f t="shared" si="0"/>
        <v>4.22791</v>
      </c>
      <c r="E6" s="200">
        <f t="shared" si="0"/>
        <v>4.26831</v>
      </c>
      <c r="F6" s="200">
        <f t="shared" si="0"/>
        <v>4.31009</v>
      </c>
      <c r="G6" s="200">
        <f t="shared" si="0"/>
        <v>4.35201</v>
      </c>
      <c r="H6" s="200">
        <f t="shared" si="0"/>
        <v>4.39328</v>
      </c>
      <c r="I6" s="200">
        <f t="shared" si="0"/>
        <v>4.43357</v>
      </c>
      <c r="J6" s="200">
        <f t="shared" si="0"/>
        <v>4.4732</v>
      </c>
      <c r="K6" s="200">
        <f t="shared" si="0"/>
        <v>4.51225</v>
      </c>
      <c r="L6" s="200">
        <f t="shared" si="0"/>
        <v>4.55074</v>
      </c>
      <c r="M6" s="200">
        <f t="shared" si="0"/>
        <v>4.58868</v>
      </c>
      <c r="N6" s="200">
        <f t="shared" si="0"/>
        <v>4.62611</v>
      </c>
      <c r="O6" s="200">
        <f t="shared" si="0"/>
        <v>4.66305</v>
      </c>
      <c r="P6" s="200">
        <f t="shared" si="0"/>
        <v>4.69937</v>
      </c>
      <c r="Q6" s="200">
        <f t="shared" si="0"/>
        <v>4.73533</v>
      </c>
      <c r="R6" s="200">
        <f t="shared" si="0"/>
        <v>4.77081</v>
      </c>
      <c r="S6" s="200">
        <f t="shared" si="0"/>
        <v>4.80573</v>
      </c>
      <c r="T6" s="200">
        <f t="shared" si="0"/>
        <v>4.84008</v>
      </c>
      <c r="U6" s="200">
        <f t="shared" si="0"/>
        <v>4.87374</v>
      </c>
      <c r="V6" s="200">
        <f t="shared" si="0"/>
        <v>4.90691</v>
      </c>
      <c r="W6" s="200">
        <f t="shared" si="0"/>
        <v>4.93936</v>
      </c>
      <c r="X6" s="200">
        <f t="shared" si="0"/>
        <v>4.97116</v>
      </c>
      <c r="Y6" s="200">
        <f t="shared" si="0"/>
        <v>5.00206</v>
      </c>
      <c r="Z6" s="200">
        <f t="shared" si="0"/>
        <v>5.03219</v>
      </c>
      <c r="AA6" s="200">
        <f t="shared" si="0"/>
        <v>5.06138</v>
      </c>
      <c r="AB6" s="200">
        <f t="shared" si="0"/>
        <v>5.08961</v>
      </c>
      <c r="AC6" s="200">
        <f t="shared" si="0"/>
        <v>5.11707</v>
      </c>
      <c r="AD6" s="200">
        <f t="shared" si="0"/>
        <v>5.1434</v>
      </c>
      <c r="AE6" s="200">
        <f t="shared" si="0"/>
        <v>5.16902</v>
      </c>
      <c r="AF6" s="200">
        <f t="shared" si="0"/>
        <v>5.19373</v>
      </c>
      <c r="AG6" s="200">
        <f t="shared" si="0"/>
        <v>5.21753</v>
      </c>
      <c r="AH6" s="200">
        <f t="shared" si="0"/>
        <v>5.24059</v>
      </c>
      <c r="AI6" s="200">
        <f aca="true" t="shared" si="1" ref="AI6:BF6">SUM(AI$9:AI$99,AI$103:AI$193)/1000000</f>
        <v>5.26294</v>
      </c>
      <c r="AJ6" s="200">
        <f t="shared" si="1"/>
        <v>5.28442</v>
      </c>
      <c r="AK6" s="200">
        <f t="shared" si="1"/>
        <v>5.30522</v>
      </c>
      <c r="AL6" s="200">
        <f t="shared" si="1"/>
        <v>5.32519</v>
      </c>
      <c r="AM6" s="200">
        <f t="shared" si="1"/>
        <v>5.34444</v>
      </c>
      <c r="AN6" s="200">
        <f t="shared" si="1"/>
        <v>5.36288</v>
      </c>
      <c r="AO6" s="200">
        <f t="shared" si="1"/>
        <v>5.38069</v>
      </c>
      <c r="AP6" s="200">
        <f t="shared" si="1"/>
        <v>5.39742</v>
      </c>
      <c r="AQ6" s="200">
        <f t="shared" si="1"/>
        <v>5.41339</v>
      </c>
      <c r="AR6" s="200">
        <f t="shared" si="1"/>
        <v>5.42851</v>
      </c>
      <c r="AS6" s="200">
        <f t="shared" si="1"/>
        <v>5.44275</v>
      </c>
      <c r="AT6" s="200">
        <f t="shared" si="1"/>
        <v>5.45612</v>
      </c>
      <c r="AU6" s="200">
        <f t="shared" si="1"/>
        <v>5.46883</v>
      </c>
      <c r="AV6" s="200">
        <f t="shared" si="1"/>
        <v>5.48084</v>
      </c>
      <c r="AW6" s="200">
        <f t="shared" si="1"/>
        <v>5.49212</v>
      </c>
      <c r="AX6" s="200">
        <f t="shared" si="1"/>
        <v>5.50276</v>
      </c>
      <c r="AY6" s="200">
        <f t="shared" si="1"/>
        <v>5.5129</v>
      </c>
      <c r="AZ6" s="200">
        <f t="shared" si="1"/>
        <v>5.5224</v>
      </c>
      <c r="BA6" s="200">
        <f t="shared" si="1"/>
        <v>5.53147</v>
      </c>
      <c r="BB6" s="200">
        <f t="shared" si="1"/>
        <v>5.54001</v>
      </c>
      <c r="BC6" s="200">
        <f t="shared" si="1"/>
        <v>5.54829</v>
      </c>
      <c r="BD6" s="200">
        <f t="shared" si="1"/>
        <v>5.55625</v>
      </c>
      <c r="BE6" s="200">
        <f t="shared" si="1"/>
        <v>5.56371</v>
      </c>
      <c r="BF6" s="200">
        <f t="shared" si="1"/>
        <v>5.57098</v>
      </c>
    </row>
    <row r="7" spans="1:58" ht="12.75">
      <c r="A7" s="117"/>
      <c r="B7" s="11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58" ht="12.75">
      <c r="A8" s="117" t="s">
        <v>308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ht="12.75">
      <c r="A9" s="118" t="s">
        <v>309</v>
      </c>
      <c r="B9" s="11"/>
      <c r="C9" s="116">
        <v>30150</v>
      </c>
      <c r="D9" s="116">
        <v>31640</v>
      </c>
      <c r="E9" s="116">
        <v>31760</v>
      </c>
      <c r="F9" s="116">
        <v>31610</v>
      </c>
      <c r="G9" s="116">
        <v>31310</v>
      </c>
      <c r="H9" s="116">
        <v>31050</v>
      </c>
      <c r="I9" s="116">
        <v>30840</v>
      </c>
      <c r="J9" s="116">
        <v>30660</v>
      </c>
      <c r="K9" s="116">
        <v>30530</v>
      </c>
      <c r="L9" s="116">
        <v>30440</v>
      </c>
      <c r="M9" s="116">
        <v>30370</v>
      </c>
      <c r="N9" s="116">
        <v>30340</v>
      </c>
      <c r="O9" s="116">
        <v>30310</v>
      </c>
      <c r="P9" s="116">
        <v>30300</v>
      </c>
      <c r="Q9" s="116">
        <v>30300</v>
      </c>
      <c r="R9" s="116">
        <v>30290</v>
      </c>
      <c r="S9" s="116">
        <v>30300</v>
      </c>
      <c r="T9" s="116">
        <v>30300</v>
      </c>
      <c r="U9" s="116">
        <v>30310</v>
      </c>
      <c r="V9" s="116">
        <v>30320</v>
      </c>
      <c r="W9" s="116">
        <v>30330</v>
      </c>
      <c r="X9" s="116">
        <v>30320</v>
      </c>
      <c r="Y9" s="116">
        <v>30300</v>
      </c>
      <c r="Z9" s="116">
        <v>30260</v>
      </c>
      <c r="AA9" s="116">
        <v>30210</v>
      </c>
      <c r="AB9" s="116">
        <v>30160</v>
      </c>
      <c r="AC9" s="116">
        <v>30130</v>
      </c>
      <c r="AD9" s="116">
        <v>30110</v>
      </c>
      <c r="AE9" s="116">
        <v>30110</v>
      </c>
      <c r="AF9" s="116">
        <v>30140</v>
      </c>
      <c r="AG9" s="116">
        <v>30180</v>
      </c>
      <c r="AH9" s="116">
        <v>30250</v>
      </c>
      <c r="AI9" s="116">
        <v>30320</v>
      </c>
      <c r="AJ9" s="116">
        <v>30410</v>
      </c>
      <c r="AK9" s="116">
        <v>30490</v>
      </c>
      <c r="AL9" s="116">
        <v>30560</v>
      </c>
      <c r="AM9" s="116">
        <v>30610</v>
      </c>
      <c r="AN9" s="116">
        <v>30640</v>
      </c>
      <c r="AO9" s="116">
        <v>30660</v>
      </c>
      <c r="AP9" s="116">
        <v>30650</v>
      </c>
      <c r="AQ9" s="116">
        <v>30620</v>
      </c>
      <c r="AR9" s="116">
        <v>30590</v>
      </c>
      <c r="AS9" s="116">
        <v>30550</v>
      </c>
      <c r="AT9" s="116">
        <v>30510</v>
      </c>
      <c r="AU9" s="116">
        <v>30470</v>
      </c>
      <c r="AV9" s="116">
        <v>30440</v>
      </c>
      <c r="AW9" s="116">
        <v>30410</v>
      </c>
      <c r="AX9" s="116">
        <v>30380</v>
      </c>
      <c r="AY9" s="116">
        <v>30370</v>
      </c>
      <c r="AZ9" s="116">
        <v>30360</v>
      </c>
      <c r="BA9" s="116">
        <v>30350</v>
      </c>
      <c r="BB9" s="116">
        <v>30340</v>
      </c>
      <c r="BC9" s="116">
        <v>30340</v>
      </c>
      <c r="BD9" s="116">
        <v>30340</v>
      </c>
      <c r="BE9" s="116">
        <v>30340</v>
      </c>
      <c r="BF9" s="116">
        <v>30340</v>
      </c>
    </row>
    <row r="10" spans="1:58" ht="12.75">
      <c r="A10" s="118" t="s">
        <v>310</v>
      </c>
      <c r="B10" s="11"/>
      <c r="C10" s="116">
        <v>29380</v>
      </c>
      <c r="D10" s="116">
        <v>30220</v>
      </c>
      <c r="E10" s="116">
        <v>31690</v>
      </c>
      <c r="F10" s="116">
        <v>31830</v>
      </c>
      <c r="G10" s="116">
        <v>31690</v>
      </c>
      <c r="H10" s="116">
        <v>31380</v>
      </c>
      <c r="I10" s="116">
        <v>31120</v>
      </c>
      <c r="J10" s="116">
        <v>30910</v>
      </c>
      <c r="K10" s="116">
        <v>30740</v>
      </c>
      <c r="L10" s="116">
        <v>30610</v>
      </c>
      <c r="M10" s="116">
        <v>30520</v>
      </c>
      <c r="N10" s="116">
        <v>30450</v>
      </c>
      <c r="O10" s="116">
        <v>30410</v>
      </c>
      <c r="P10" s="116">
        <v>30390</v>
      </c>
      <c r="Q10" s="116">
        <v>30380</v>
      </c>
      <c r="R10" s="116">
        <v>30370</v>
      </c>
      <c r="S10" s="116">
        <v>30370</v>
      </c>
      <c r="T10" s="116">
        <v>30380</v>
      </c>
      <c r="U10" s="116">
        <v>30380</v>
      </c>
      <c r="V10" s="116">
        <v>30390</v>
      </c>
      <c r="W10" s="116">
        <v>30400</v>
      </c>
      <c r="X10" s="116">
        <v>30410</v>
      </c>
      <c r="Y10" s="116">
        <v>30410</v>
      </c>
      <c r="Z10" s="116">
        <v>30380</v>
      </c>
      <c r="AA10" s="116">
        <v>30340</v>
      </c>
      <c r="AB10" s="116">
        <v>30290</v>
      </c>
      <c r="AC10" s="116">
        <v>30250</v>
      </c>
      <c r="AD10" s="116">
        <v>30210</v>
      </c>
      <c r="AE10" s="116">
        <v>30190</v>
      </c>
      <c r="AF10" s="116">
        <v>30190</v>
      </c>
      <c r="AG10" s="116">
        <v>30220</v>
      </c>
      <c r="AH10" s="116">
        <v>30260</v>
      </c>
      <c r="AI10" s="116">
        <v>30330</v>
      </c>
      <c r="AJ10" s="116">
        <v>30410</v>
      </c>
      <c r="AK10" s="116">
        <v>30490</v>
      </c>
      <c r="AL10" s="116">
        <v>30570</v>
      </c>
      <c r="AM10" s="116">
        <v>30640</v>
      </c>
      <c r="AN10" s="116">
        <v>30690</v>
      </c>
      <c r="AO10" s="116">
        <v>30730</v>
      </c>
      <c r="AP10" s="116">
        <v>30740</v>
      </c>
      <c r="AQ10" s="116">
        <v>30730</v>
      </c>
      <c r="AR10" s="116">
        <v>30710</v>
      </c>
      <c r="AS10" s="116">
        <v>30670</v>
      </c>
      <c r="AT10" s="116">
        <v>30630</v>
      </c>
      <c r="AU10" s="116">
        <v>30590</v>
      </c>
      <c r="AV10" s="116">
        <v>30550</v>
      </c>
      <c r="AW10" s="116">
        <v>30520</v>
      </c>
      <c r="AX10" s="116">
        <v>30490</v>
      </c>
      <c r="AY10" s="116">
        <v>30470</v>
      </c>
      <c r="AZ10" s="116">
        <v>30450</v>
      </c>
      <c r="BA10" s="116">
        <v>30440</v>
      </c>
      <c r="BB10" s="116">
        <v>30430</v>
      </c>
      <c r="BC10" s="116">
        <v>30430</v>
      </c>
      <c r="BD10" s="116">
        <v>30420</v>
      </c>
      <c r="BE10" s="116">
        <v>30420</v>
      </c>
      <c r="BF10" s="116">
        <v>30430</v>
      </c>
    </row>
    <row r="11" spans="1:58" ht="12.75">
      <c r="A11" s="118" t="s">
        <v>311</v>
      </c>
      <c r="B11" s="11"/>
      <c r="C11" s="116">
        <v>29510</v>
      </c>
      <c r="D11" s="116">
        <v>29480</v>
      </c>
      <c r="E11" s="116">
        <v>30310</v>
      </c>
      <c r="F11" s="116">
        <v>31790</v>
      </c>
      <c r="G11" s="116">
        <v>31930</v>
      </c>
      <c r="H11" s="116">
        <v>31790</v>
      </c>
      <c r="I11" s="116">
        <v>31480</v>
      </c>
      <c r="J11" s="116">
        <v>31220</v>
      </c>
      <c r="K11" s="116">
        <v>31010</v>
      </c>
      <c r="L11" s="116">
        <v>30840</v>
      </c>
      <c r="M11" s="116">
        <v>30710</v>
      </c>
      <c r="N11" s="116">
        <v>30620</v>
      </c>
      <c r="O11" s="116">
        <v>30550</v>
      </c>
      <c r="P11" s="116">
        <v>30510</v>
      </c>
      <c r="Q11" s="116">
        <v>30490</v>
      </c>
      <c r="R11" s="116">
        <v>30480</v>
      </c>
      <c r="S11" s="116">
        <v>30480</v>
      </c>
      <c r="T11" s="116">
        <v>30470</v>
      </c>
      <c r="U11" s="116">
        <v>30480</v>
      </c>
      <c r="V11" s="116">
        <v>30490</v>
      </c>
      <c r="W11" s="116">
        <v>30500</v>
      </c>
      <c r="X11" s="116">
        <v>30500</v>
      </c>
      <c r="Y11" s="116">
        <v>30510</v>
      </c>
      <c r="Z11" s="116">
        <v>30510</v>
      </c>
      <c r="AA11" s="116">
        <v>30480</v>
      </c>
      <c r="AB11" s="116">
        <v>30440</v>
      </c>
      <c r="AC11" s="116">
        <v>30390</v>
      </c>
      <c r="AD11" s="116">
        <v>30350</v>
      </c>
      <c r="AE11" s="116">
        <v>30310</v>
      </c>
      <c r="AF11" s="116">
        <v>30290</v>
      </c>
      <c r="AG11" s="116">
        <v>30300</v>
      </c>
      <c r="AH11" s="116">
        <v>30320</v>
      </c>
      <c r="AI11" s="116">
        <v>30370</v>
      </c>
      <c r="AJ11" s="116">
        <v>30430</v>
      </c>
      <c r="AK11" s="116">
        <v>30510</v>
      </c>
      <c r="AL11" s="116">
        <v>30590</v>
      </c>
      <c r="AM11" s="116">
        <v>30670</v>
      </c>
      <c r="AN11" s="116">
        <v>30740</v>
      </c>
      <c r="AO11" s="116">
        <v>30800</v>
      </c>
      <c r="AP11" s="116">
        <v>30830</v>
      </c>
      <c r="AQ11" s="116">
        <v>30840</v>
      </c>
      <c r="AR11" s="116">
        <v>30840</v>
      </c>
      <c r="AS11" s="116">
        <v>30810</v>
      </c>
      <c r="AT11" s="116">
        <v>30780</v>
      </c>
      <c r="AU11" s="116">
        <v>30740</v>
      </c>
      <c r="AV11" s="116">
        <v>30700</v>
      </c>
      <c r="AW11" s="116">
        <v>30660</v>
      </c>
      <c r="AX11" s="116">
        <v>30620</v>
      </c>
      <c r="AY11" s="116">
        <v>30600</v>
      </c>
      <c r="AZ11" s="116">
        <v>30570</v>
      </c>
      <c r="BA11" s="116">
        <v>30560</v>
      </c>
      <c r="BB11" s="116">
        <v>30540</v>
      </c>
      <c r="BC11" s="116">
        <v>30540</v>
      </c>
      <c r="BD11" s="116">
        <v>30530</v>
      </c>
      <c r="BE11" s="116">
        <v>30530</v>
      </c>
      <c r="BF11" s="116">
        <v>30530</v>
      </c>
    </row>
    <row r="12" spans="1:58" ht="12.75">
      <c r="A12" s="118" t="s">
        <v>312</v>
      </c>
      <c r="B12" s="11"/>
      <c r="C12" s="116">
        <v>28800</v>
      </c>
      <c r="D12" s="116">
        <v>29620</v>
      </c>
      <c r="E12" s="116">
        <v>29570</v>
      </c>
      <c r="F12" s="116">
        <v>30410</v>
      </c>
      <c r="G12" s="116">
        <v>31890</v>
      </c>
      <c r="H12" s="116">
        <v>32040</v>
      </c>
      <c r="I12" s="116">
        <v>31890</v>
      </c>
      <c r="J12" s="116">
        <v>31590</v>
      </c>
      <c r="K12" s="116">
        <v>31330</v>
      </c>
      <c r="L12" s="116">
        <v>31120</v>
      </c>
      <c r="M12" s="116">
        <v>30950</v>
      </c>
      <c r="N12" s="116">
        <v>30820</v>
      </c>
      <c r="O12" s="116">
        <v>30720</v>
      </c>
      <c r="P12" s="116">
        <v>30660</v>
      </c>
      <c r="Q12" s="116">
        <v>30620</v>
      </c>
      <c r="R12" s="116">
        <v>30600</v>
      </c>
      <c r="S12" s="116">
        <v>30590</v>
      </c>
      <c r="T12" s="116">
        <v>30580</v>
      </c>
      <c r="U12" s="116">
        <v>30580</v>
      </c>
      <c r="V12" s="116">
        <v>30590</v>
      </c>
      <c r="W12" s="116">
        <v>30590</v>
      </c>
      <c r="X12" s="116">
        <v>30600</v>
      </c>
      <c r="Y12" s="116">
        <v>30610</v>
      </c>
      <c r="Z12" s="116">
        <v>30620</v>
      </c>
      <c r="AA12" s="116">
        <v>30620</v>
      </c>
      <c r="AB12" s="116">
        <v>30590</v>
      </c>
      <c r="AC12" s="116">
        <v>30550</v>
      </c>
      <c r="AD12" s="116">
        <v>30500</v>
      </c>
      <c r="AE12" s="116">
        <v>30460</v>
      </c>
      <c r="AF12" s="116">
        <v>30420</v>
      </c>
      <c r="AG12" s="116">
        <v>30400</v>
      </c>
      <c r="AH12" s="116">
        <v>30410</v>
      </c>
      <c r="AI12" s="116">
        <v>30430</v>
      </c>
      <c r="AJ12" s="116">
        <v>30480</v>
      </c>
      <c r="AK12" s="116">
        <v>30540</v>
      </c>
      <c r="AL12" s="116">
        <v>30620</v>
      </c>
      <c r="AM12" s="116">
        <v>30700</v>
      </c>
      <c r="AN12" s="116">
        <v>30780</v>
      </c>
      <c r="AO12" s="116">
        <v>30850</v>
      </c>
      <c r="AP12" s="116">
        <v>30910</v>
      </c>
      <c r="AQ12" s="116">
        <v>30940</v>
      </c>
      <c r="AR12" s="116">
        <v>30950</v>
      </c>
      <c r="AS12" s="116">
        <v>30940</v>
      </c>
      <c r="AT12" s="116">
        <v>30920</v>
      </c>
      <c r="AU12" s="116">
        <v>30890</v>
      </c>
      <c r="AV12" s="116">
        <v>30850</v>
      </c>
      <c r="AW12" s="116">
        <v>30810</v>
      </c>
      <c r="AX12" s="116">
        <v>30770</v>
      </c>
      <c r="AY12" s="116">
        <v>30730</v>
      </c>
      <c r="AZ12" s="116">
        <v>30700</v>
      </c>
      <c r="BA12" s="116">
        <v>30680</v>
      </c>
      <c r="BB12" s="116">
        <v>30660</v>
      </c>
      <c r="BC12" s="116">
        <v>30650</v>
      </c>
      <c r="BD12" s="116">
        <v>30640</v>
      </c>
      <c r="BE12" s="116">
        <v>30640</v>
      </c>
      <c r="BF12" s="116">
        <v>30640</v>
      </c>
    </row>
    <row r="13" spans="1:58" ht="12.75">
      <c r="A13" s="118" t="s">
        <v>313</v>
      </c>
      <c r="B13" s="11"/>
      <c r="C13" s="116">
        <v>28370</v>
      </c>
      <c r="D13" s="116">
        <v>28910</v>
      </c>
      <c r="E13" s="116">
        <v>29710</v>
      </c>
      <c r="F13" s="116">
        <v>29670</v>
      </c>
      <c r="G13" s="116">
        <v>30510</v>
      </c>
      <c r="H13" s="116">
        <v>32000</v>
      </c>
      <c r="I13" s="116">
        <v>32140</v>
      </c>
      <c r="J13" s="116">
        <v>32000</v>
      </c>
      <c r="K13" s="116">
        <v>31700</v>
      </c>
      <c r="L13" s="116">
        <v>31440</v>
      </c>
      <c r="M13" s="116">
        <v>31230</v>
      </c>
      <c r="N13" s="116">
        <v>31060</v>
      </c>
      <c r="O13" s="116">
        <v>30930</v>
      </c>
      <c r="P13" s="116">
        <v>30830</v>
      </c>
      <c r="Q13" s="116">
        <v>30770</v>
      </c>
      <c r="R13" s="116">
        <v>30730</v>
      </c>
      <c r="S13" s="116">
        <v>30710</v>
      </c>
      <c r="T13" s="116">
        <v>30700</v>
      </c>
      <c r="U13" s="116">
        <v>30690</v>
      </c>
      <c r="V13" s="116">
        <v>30690</v>
      </c>
      <c r="W13" s="116">
        <v>30690</v>
      </c>
      <c r="X13" s="116">
        <v>30700</v>
      </c>
      <c r="Y13" s="116">
        <v>30710</v>
      </c>
      <c r="Z13" s="116">
        <v>30720</v>
      </c>
      <c r="AA13" s="116">
        <v>30730</v>
      </c>
      <c r="AB13" s="116">
        <v>30720</v>
      </c>
      <c r="AC13" s="116">
        <v>30700</v>
      </c>
      <c r="AD13" s="116">
        <v>30660</v>
      </c>
      <c r="AE13" s="116">
        <v>30610</v>
      </c>
      <c r="AF13" s="116">
        <v>30570</v>
      </c>
      <c r="AG13" s="116">
        <v>30530</v>
      </c>
      <c r="AH13" s="116">
        <v>30510</v>
      </c>
      <c r="AI13" s="116">
        <v>30520</v>
      </c>
      <c r="AJ13" s="116">
        <v>30540</v>
      </c>
      <c r="AK13" s="116">
        <v>30590</v>
      </c>
      <c r="AL13" s="116">
        <v>30650</v>
      </c>
      <c r="AM13" s="116">
        <v>30730</v>
      </c>
      <c r="AN13" s="116">
        <v>30810</v>
      </c>
      <c r="AO13" s="116">
        <v>30890</v>
      </c>
      <c r="AP13" s="116">
        <v>30960</v>
      </c>
      <c r="AQ13" s="116">
        <v>31020</v>
      </c>
      <c r="AR13" s="116">
        <v>31050</v>
      </c>
      <c r="AS13" s="116">
        <v>31060</v>
      </c>
      <c r="AT13" s="116">
        <v>31050</v>
      </c>
      <c r="AU13" s="116">
        <v>31030</v>
      </c>
      <c r="AV13" s="116">
        <v>31000</v>
      </c>
      <c r="AW13" s="116">
        <v>30960</v>
      </c>
      <c r="AX13" s="116">
        <v>30920</v>
      </c>
      <c r="AY13" s="116">
        <v>30880</v>
      </c>
      <c r="AZ13" s="116">
        <v>30840</v>
      </c>
      <c r="BA13" s="116">
        <v>30810</v>
      </c>
      <c r="BB13" s="116">
        <v>30790</v>
      </c>
      <c r="BC13" s="116">
        <v>30770</v>
      </c>
      <c r="BD13" s="116">
        <v>30760</v>
      </c>
      <c r="BE13" s="116">
        <v>30750</v>
      </c>
      <c r="BF13" s="116">
        <v>30750</v>
      </c>
    </row>
    <row r="14" spans="1:58" ht="12.75">
      <c r="A14" s="118" t="s">
        <v>314</v>
      </c>
      <c r="B14" s="11"/>
      <c r="C14" s="116">
        <v>29670</v>
      </c>
      <c r="D14" s="116">
        <v>28470</v>
      </c>
      <c r="E14" s="116">
        <v>28990</v>
      </c>
      <c r="F14" s="116">
        <v>29810</v>
      </c>
      <c r="G14" s="116">
        <v>29770</v>
      </c>
      <c r="H14" s="116">
        <v>30620</v>
      </c>
      <c r="I14" s="116">
        <v>32110</v>
      </c>
      <c r="J14" s="116">
        <v>32250</v>
      </c>
      <c r="K14" s="116">
        <v>32100</v>
      </c>
      <c r="L14" s="116">
        <v>31800</v>
      </c>
      <c r="M14" s="116">
        <v>31540</v>
      </c>
      <c r="N14" s="116">
        <v>31330</v>
      </c>
      <c r="O14" s="116">
        <v>31160</v>
      </c>
      <c r="P14" s="116">
        <v>31030</v>
      </c>
      <c r="Q14" s="116">
        <v>30940</v>
      </c>
      <c r="R14" s="116">
        <v>30880</v>
      </c>
      <c r="S14" s="116">
        <v>30840</v>
      </c>
      <c r="T14" s="116">
        <v>30820</v>
      </c>
      <c r="U14" s="116">
        <v>30800</v>
      </c>
      <c r="V14" s="116">
        <v>30800</v>
      </c>
      <c r="W14" s="116">
        <v>30800</v>
      </c>
      <c r="X14" s="116">
        <v>30800</v>
      </c>
      <c r="Y14" s="116">
        <v>30810</v>
      </c>
      <c r="Z14" s="116">
        <v>30820</v>
      </c>
      <c r="AA14" s="116">
        <v>30830</v>
      </c>
      <c r="AB14" s="116">
        <v>30830</v>
      </c>
      <c r="AC14" s="116">
        <v>30830</v>
      </c>
      <c r="AD14" s="116">
        <v>30810</v>
      </c>
      <c r="AE14" s="116">
        <v>30770</v>
      </c>
      <c r="AF14" s="116">
        <v>30720</v>
      </c>
      <c r="AG14" s="116">
        <v>30670</v>
      </c>
      <c r="AH14" s="116">
        <v>30640</v>
      </c>
      <c r="AI14" s="116">
        <v>30620</v>
      </c>
      <c r="AJ14" s="116">
        <v>30620</v>
      </c>
      <c r="AK14" s="116">
        <v>30650</v>
      </c>
      <c r="AL14" s="116">
        <v>30690</v>
      </c>
      <c r="AM14" s="116">
        <v>30760</v>
      </c>
      <c r="AN14" s="116">
        <v>30830</v>
      </c>
      <c r="AO14" s="116">
        <v>30920</v>
      </c>
      <c r="AP14" s="116">
        <v>31000</v>
      </c>
      <c r="AQ14" s="116">
        <v>31070</v>
      </c>
      <c r="AR14" s="116">
        <v>31120</v>
      </c>
      <c r="AS14" s="116">
        <v>31160</v>
      </c>
      <c r="AT14" s="116">
        <v>31170</v>
      </c>
      <c r="AU14" s="116">
        <v>31160</v>
      </c>
      <c r="AV14" s="116">
        <v>31140</v>
      </c>
      <c r="AW14" s="116">
        <v>31100</v>
      </c>
      <c r="AX14" s="116">
        <v>31060</v>
      </c>
      <c r="AY14" s="116">
        <v>31020</v>
      </c>
      <c r="AZ14" s="116">
        <v>30980</v>
      </c>
      <c r="BA14" s="116">
        <v>30950</v>
      </c>
      <c r="BB14" s="116">
        <v>30920</v>
      </c>
      <c r="BC14" s="116">
        <v>30900</v>
      </c>
      <c r="BD14" s="116">
        <v>30880</v>
      </c>
      <c r="BE14" s="116">
        <v>30870</v>
      </c>
      <c r="BF14" s="116">
        <v>30860</v>
      </c>
    </row>
    <row r="15" spans="1:58" ht="12.75">
      <c r="A15" s="118" t="s">
        <v>315</v>
      </c>
      <c r="B15" s="11"/>
      <c r="C15" s="116">
        <v>30280</v>
      </c>
      <c r="D15" s="116">
        <v>29780</v>
      </c>
      <c r="E15" s="116">
        <v>28560</v>
      </c>
      <c r="F15" s="116">
        <v>29090</v>
      </c>
      <c r="G15" s="116">
        <v>29910</v>
      </c>
      <c r="H15" s="116">
        <v>29880</v>
      </c>
      <c r="I15" s="116">
        <v>30720</v>
      </c>
      <c r="J15" s="116">
        <v>32210</v>
      </c>
      <c r="K15" s="116">
        <v>32350</v>
      </c>
      <c r="L15" s="116">
        <v>32210</v>
      </c>
      <c r="M15" s="116">
        <v>31900</v>
      </c>
      <c r="N15" s="116">
        <v>31650</v>
      </c>
      <c r="O15" s="116">
        <v>31440</v>
      </c>
      <c r="P15" s="116">
        <v>31270</v>
      </c>
      <c r="Q15" s="116">
        <v>31140</v>
      </c>
      <c r="R15" s="116">
        <v>31040</v>
      </c>
      <c r="S15" s="116">
        <v>30980</v>
      </c>
      <c r="T15" s="116">
        <v>30940</v>
      </c>
      <c r="U15" s="116">
        <v>30920</v>
      </c>
      <c r="V15" s="116">
        <v>30910</v>
      </c>
      <c r="W15" s="116">
        <v>30900</v>
      </c>
      <c r="X15" s="116">
        <v>30900</v>
      </c>
      <c r="Y15" s="116">
        <v>30900</v>
      </c>
      <c r="Z15" s="116">
        <v>30910</v>
      </c>
      <c r="AA15" s="116">
        <v>30920</v>
      </c>
      <c r="AB15" s="116">
        <v>30930</v>
      </c>
      <c r="AC15" s="116">
        <v>30940</v>
      </c>
      <c r="AD15" s="116">
        <v>30940</v>
      </c>
      <c r="AE15" s="116">
        <v>30910</v>
      </c>
      <c r="AF15" s="116">
        <v>30870</v>
      </c>
      <c r="AG15" s="116">
        <v>30820</v>
      </c>
      <c r="AH15" s="116">
        <v>30780</v>
      </c>
      <c r="AI15" s="116">
        <v>30740</v>
      </c>
      <c r="AJ15" s="116">
        <v>30720</v>
      </c>
      <c r="AK15" s="116">
        <v>30730</v>
      </c>
      <c r="AL15" s="116">
        <v>30750</v>
      </c>
      <c r="AM15" s="116">
        <v>30800</v>
      </c>
      <c r="AN15" s="116">
        <v>30860</v>
      </c>
      <c r="AO15" s="116">
        <v>30940</v>
      </c>
      <c r="AP15" s="116">
        <v>31020</v>
      </c>
      <c r="AQ15" s="116">
        <v>31100</v>
      </c>
      <c r="AR15" s="116">
        <v>31170</v>
      </c>
      <c r="AS15" s="116">
        <v>31230</v>
      </c>
      <c r="AT15" s="116">
        <v>31260</v>
      </c>
      <c r="AU15" s="116">
        <v>31270</v>
      </c>
      <c r="AV15" s="116">
        <v>31270</v>
      </c>
      <c r="AW15" s="116">
        <v>31240</v>
      </c>
      <c r="AX15" s="116">
        <v>31210</v>
      </c>
      <c r="AY15" s="116">
        <v>31170</v>
      </c>
      <c r="AZ15" s="116">
        <v>31130</v>
      </c>
      <c r="BA15" s="116">
        <v>31090</v>
      </c>
      <c r="BB15" s="116">
        <v>31060</v>
      </c>
      <c r="BC15" s="116">
        <v>31030</v>
      </c>
      <c r="BD15" s="116">
        <v>31000</v>
      </c>
      <c r="BE15" s="116">
        <v>30990</v>
      </c>
      <c r="BF15" s="116">
        <v>30970</v>
      </c>
    </row>
    <row r="16" spans="1:58" ht="12.75">
      <c r="A16" s="118" t="s">
        <v>316</v>
      </c>
      <c r="B16" s="11"/>
      <c r="C16" s="116">
        <v>29500</v>
      </c>
      <c r="D16" s="116">
        <v>30380</v>
      </c>
      <c r="E16" s="116">
        <v>29860</v>
      </c>
      <c r="F16" s="116">
        <v>28660</v>
      </c>
      <c r="G16" s="116">
        <v>29190</v>
      </c>
      <c r="H16" s="116">
        <v>30020</v>
      </c>
      <c r="I16" s="116">
        <v>29980</v>
      </c>
      <c r="J16" s="116">
        <v>30830</v>
      </c>
      <c r="K16" s="116">
        <v>32310</v>
      </c>
      <c r="L16" s="116">
        <v>32460</v>
      </c>
      <c r="M16" s="116">
        <v>32310</v>
      </c>
      <c r="N16" s="116">
        <v>32010</v>
      </c>
      <c r="O16" s="116">
        <v>31750</v>
      </c>
      <c r="P16" s="116">
        <v>31540</v>
      </c>
      <c r="Q16" s="116">
        <v>31370</v>
      </c>
      <c r="R16" s="116">
        <v>31240</v>
      </c>
      <c r="S16" s="116">
        <v>31150</v>
      </c>
      <c r="T16" s="116">
        <v>31080</v>
      </c>
      <c r="U16" s="116">
        <v>31040</v>
      </c>
      <c r="V16" s="116">
        <v>31020</v>
      </c>
      <c r="W16" s="116">
        <v>31010</v>
      </c>
      <c r="X16" s="116">
        <v>31010</v>
      </c>
      <c r="Y16" s="116">
        <v>31010</v>
      </c>
      <c r="Z16" s="116">
        <v>31010</v>
      </c>
      <c r="AA16" s="116">
        <v>31020</v>
      </c>
      <c r="AB16" s="116">
        <v>31030</v>
      </c>
      <c r="AC16" s="116">
        <v>31040</v>
      </c>
      <c r="AD16" s="116">
        <v>31040</v>
      </c>
      <c r="AE16" s="116">
        <v>31040</v>
      </c>
      <c r="AF16" s="116">
        <v>31020</v>
      </c>
      <c r="AG16" s="116">
        <v>30980</v>
      </c>
      <c r="AH16" s="116">
        <v>30930</v>
      </c>
      <c r="AI16" s="116">
        <v>30880</v>
      </c>
      <c r="AJ16" s="116">
        <v>30850</v>
      </c>
      <c r="AK16" s="116">
        <v>30830</v>
      </c>
      <c r="AL16" s="116">
        <v>30830</v>
      </c>
      <c r="AM16" s="116">
        <v>30860</v>
      </c>
      <c r="AN16" s="116">
        <v>30900</v>
      </c>
      <c r="AO16" s="116">
        <v>30970</v>
      </c>
      <c r="AP16" s="116">
        <v>31040</v>
      </c>
      <c r="AQ16" s="116">
        <v>31130</v>
      </c>
      <c r="AR16" s="116">
        <v>31210</v>
      </c>
      <c r="AS16" s="116">
        <v>31280</v>
      </c>
      <c r="AT16" s="116">
        <v>31330</v>
      </c>
      <c r="AU16" s="116">
        <v>31370</v>
      </c>
      <c r="AV16" s="116">
        <v>31380</v>
      </c>
      <c r="AW16" s="116">
        <v>31370</v>
      </c>
      <c r="AX16" s="116">
        <v>31350</v>
      </c>
      <c r="AY16" s="116">
        <v>31310</v>
      </c>
      <c r="AZ16" s="116">
        <v>31270</v>
      </c>
      <c r="BA16" s="116">
        <v>31230</v>
      </c>
      <c r="BB16" s="116">
        <v>31190</v>
      </c>
      <c r="BC16" s="116">
        <v>31160</v>
      </c>
      <c r="BD16" s="116">
        <v>31130</v>
      </c>
      <c r="BE16" s="116">
        <v>31110</v>
      </c>
      <c r="BF16" s="116">
        <v>31090</v>
      </c>
    </row>
    <row r="17" spans="1:58" ht="12.75">
      <c r="A17" s="118" t="s">
        <v>317</v>
      </c>
      <c r="B17" s="11"/>
      <c r="C17" s="116">
        <v>29960</v>
      </c>
      <c r="D17" s="116">
        <v>29600</v>
      </c>
      <c r="E17" s="116">
        <v>30460</v>
      </c>
      <c r="F17" s="116">
        <v>29960</v>
      </c>
      <c r="G17" s="116">
        <v>28760</v>
      </c>
      <c r="H17" s="116">
        <v>29300</v>
      </c>
      <c r="I17" s="116">
        <v>30120</v>
      </c>
      <c r="J17" s="116">
        <v>30080</v>
      </c>
      <c r="K17" s="116">
        <v>30930</v>
      </c>
      <c r="L17" s="116">
        <v>32420</v>
      </c>
      <c r="M17" s="116">
        <v>32560</v>
      </c>
      <c r="N17" s="116">
        <v>32410</v>
      </c>
      <c r="O17" s="116">
        <v>32110</v>
      </c>
      <c r="P17" s="116">
        <v>31850</v>
      </c>
      <c r="Q17" s="116">
        <v>31640</v>
      </c>
      <c r="R17" s="116">
        <v>31470</v>
      </c>
      <c r="S17" s="116">
        <v>31340</v>
      </c>
      <c r="T17" s="116">
        <v>31250</v>
      </c>
      <c r="U17" s="116">
        <v>31190</v>
      </c>
      <c r="V17" s="116">
        <v>31150</v>
      </c>
      <c r="W17" s="116">
        <v>31130</v>
      </c>
      <c r="X17" s="116">
        <v>31120</v>
      </c>
      <c r="Y17" s="116">
        <v>31110</v>
      </c>
      <c r="Z17" s="116">
        <v>31110</v>
      </c>
      <c r="AA17" s="116">
        <v>31110</v>
      </c>
      <c r="AB17" s="116">
        <v>31120</v>
      </c>
      <c r="AC17" s="116">
        <v>31130</v>
      </c>
      <c r="AD17" s="116">
        <v>31140</v>
      </c>
      <c r="AE17" s="116">
        <v>31140</v>
      </c>
      <c r="AF17" s="116">
        <v>31140</v>
      </c>
      <c r="AG17" s="116">
        <v>31120</v>
      </c>
      <c r="AH17" s="116">
        <v>31080</v>
      </c>
      <c r="AI17" s="116">
        <v>31030</v>
      </c>
      <c r="AJ17" s="116">
        <v>30980</v>
      </c>
      <c r="AK17" s="116">
        <v>30950</v>
      </c>
      <c r="AL17" s="116">
        <v>30930</v>
      </c>
      <c r="AM17" s="116">
        <v>30930</v>
      </c>
      <c r="AN17" s="116">
        <v>30960</v>
      </c>
      <c r="AO17" s="116">
        <v>31010</v>
      </c>
      <c r="AP17" s="116">
        <v>31070</v>
      </c>
      <c r="AQ17" s="116">
        <v>31150</v>
      </c>
      <c r="AR17" s="116">
        <v>31230</v>
      </c>
      <c r="AS17" s="116">
        <v>31310</v>
      </c>
      <c r="AT17" s="116">
        <v>31380</v>
      </c>
      <c r="AU17" s="116">
        <v>31440</v>
      </c>
      <c r="AV17" s="116">
        <v>31470</v>
      </c>
      <c r="AW17" s="116">
        <v>31480</v>
      </c>
      <c r="AX17" s="116">
        <v>31470</v>
      </c>
      <c r="AY17" s="116">
        <v>31450</v>
      </c>
      <c r="AZ17" s="116">
        <v>31420</v>
      </c>
      <c r="BA17" s="116">
        <v>31380</v>
      </c>
      <c r="BB17" s="116">
        <v>31340</v>
      </c>
      <c r="BC17" s="116">
        <v>31300</v>
      </c>
      <c r="BD17" s="116">
        <v>31260</v>
      </c>
      <c r="BE17" s="116">
        <v>31230</v>
      </c>
      <c r="BF17" s="116">
        <v>31210</v>
      </c>
    </row>
    <row r="18" spans="1:58" ht="12.75">
      <c r="A18" s="118" t="s">
        <v>318</v>
      </c>
      <c r="B18" s="11"/>
      <c r="C18" s="116">
        <v>29820</v>
      </c>
      <c r="D18" s="116">
        <v>30070</v>
      </c>
      <c r="E18" s="116">
        <v>29680</v>
      </c>
      <c r="F18" s="116">
        <v>30560</v>
      </c>
      <c r="G18" s="116">
        <v>30060</v>
      </c>
      <c r="H18" s="116">
        <v>28860</v>
      </c>
      <c r="I18" s="116">
        <v>29400</v>
      </c>
      <c r="J18" s="116">
        <v>30220</v>
      </c>
      <c r="K18" s="116">
        <v>30190</v>
      </c>
      <c r="L18" s="116">
        <v>31030</v>
      </c>
      <c r="M18" s="116">
        <v>32520</v>
      </c>
      <c r="N18" s="116">
        <v>32660</v>
      </c>
      <c r="O18" s="116">
        <v>32520</v>
      </c>
      <c r="P18" s="116">
        <v>32210</v>
      </c>
      <c r="Q18" s="116">
        <v>31960</v>
      </c>
      <c r="R18" s="116">
        <v>31740</v>
      </c>
      <c r="S18" s="116">
        <v>31580</v>
      </c>
      <c r="T18" s="116">
        <v>31440</v>
      </c>
      <c r="U18" s="116">
        <v>31350</v>
      </c>
      <c r="V18" s="116">
        <v>31290</v>
      </c>
      <c r="W18" s="116">
        <v>31250</v>
      </c>
      <c r="X18" s="116">
        <v>31230</v>
      </c>
      <c r="Y18" s="116">
        <v>31220</v>
      </c>
      <c r="Z18" s="116">
        <v>31210</v>
      </c>
      <c r="AA18" s="116">
        <v>31210</v>
      </c>
      <c r="AB18" s="116">
        <v>31210</v>
      </c>
      <c r="AC18" s="116">
        <v>31220</v>
      </c>
      <c r="AD18" s="116">
        <v>31230</v>
      </c>
      <c r="AE18" s="116">
        <v>31240</v>
      </c>
      <c r="AF18" s="116">
        <v>31250</v>
      </c>
      <c r="AG18" s="116">
        <v>31250</v>
      </c>
      <c r="AH18" s="116">
        <v>31220</v>
      </c>
      <c r="AI18" s="116">
        <v>31180</v>
      </c>
      <c r="AJ18" s="116">
        <v>31130</v>
      </c>
      <c r="AK18" s="116">
        <v>31090</v>
      </c>
      <c r="AL18" s="116">
        <v>31050</v>
      </c>
      <c r="AM18" s="116">
        <v>31030</v>
      </c>
      <c r="AN18" s="116">
        <v>31040</v>
      </c>
      <c r="AO18" s="116">
        <v>31060</v>
      </c>
      <c r="AP18" s="116">
        <v>31110</v>
      </c>
      <c r="AQ18" s="116">
        <v>31170</v>
      </c>
      <c r="AR18" s="116">
        <v>31250</v>
      </c>
      <c r="AS18" s="116">
        <v>31330</v>
      </c>
      <c r="AT18" s="116">
        <v>31410</v>
      </c>
      <c r="AU18" s="116">
        <v>31480</v>
      </c>
      <c r="AV18" s="116">
        <v>31540</v>
      </c>
      <c r="AW18" s="116">
        <v>31570</v>
      </c>
      <c r="AX18" s="116">
        <v>31580</v>
      </c>
      <c r="AY18" s="116">
        <v>31580</v>
      </c>
      <c r="AZ18" s="116">
        <v>31550</v>
      </c>
      <c r="BA18" s="116">
        <v>31520</v>
      </c>
      <c r="BB18" s="116">
        <v>31480</v>
      </c>
      <c r="BC18" s="116">
        <v>31440</v>
      </c>
      <c r="BD18" s="116">
        <v>31400</v>
      </c>
      <c r="BE18" s="116">
        <v>31370</v>
      </c>
      <c r="BF18" s="116">
        <v>31340</v>
      </c>
    </row>
    <row r="19" spans="1:58" ht="12.75">
      <c r="A19" s="118" t="s">
        <v>319</v>
      </c>
      <c r="B19" s="11"/>
      <c r="C19" s="116">
        <v>31100</v>
      </c>
      <c r="D19" s="116">
        <v>29930</v>
      </c>
      <c r="E19" s="116">
        <v>30160</v>
      </c>
      <c r="F19" s="116">
        <v>29780</v>
      </c>
      <c r="G19" s="116">
        <v>30670</v>
      </c>
      <c r="H19" s="116">
        <v>30170</v>
      </c>
      <c r="I19" s="116">
        <v>28970</v>
      </c>
      <c r="J19" s="116">
        <v>29500</v>
      </c>
      <c r="K19" s="116">
        <v>30330</v>
      </c>
      <c r="L19" s="116">
        <v>30290</v>
      </c>
      <c r="M19" s="116">
        <v>31140</v>
      </c>
      <c r="N19" s="116">
        <v>32620</v>
      </c>
      <c r="O19" s="116">
        <v>32770</v>
      </c>
      <c r="P19" s="116">
        <v>32620</v>
      </c>
      <c r="Q19" s="116">
        <v>32320</v>
      </c>
      <c r="R19" s="116">
        <v>32060</v>
      </c>
      <c r="S19" s="116">
        <v>31850</v>
      </c>
      <c r="T19" s="116">
        <v>31680</v>
      </c>
      <c r="U19" s="116">
        <v>31550</v>
      </c>
      <c r="V19" s="116">
        <v>31460</v>
      </c>
      <c r="W19" s="116">
        <v>31390</v>
      </c>
      <c r="X19" s="116">
        <v>31360</v>
      </c>
      <c r="Y19" s="116">
        <v>31340</v>
      </c>
      <c r="Z19" s="116">
        <v>31320</v>
      </c>
      <c r="AA19" s="116">
        <v>31320</v>
      </c>
      <c r="AB19" s="116">
        <v>31320</v>
      </c>
      <c r="AC19" s="116">
        <v>31320</v>
      </c>
      <c r="AD19" s="116">
        <v>31330</v>
      </c>
      <c r="AE19" s="116">
        <v>31340</v>
      </c>
      <c r="AF19" s="116">
        <v>31350</v>
      </c>
      <c r="AG19" s="116">
        <v>31350</v>
      </c>
      <c r="AH19" s="116">
        <v>31350</v>
      </c>
      <c r="AI19" s="116">
        <v>31330</v>
      </c>
      <c r="AJ19" s="116">
        <v>31290</v>
      </c>
      <c r="AK19" s="116">
        <v>31240</v>
      </c>
      <c r="AL19" s="116">
        <v>31190</v>
      </c>
      <c r="AM19" s="116">
        <v>31160</v>
      </c>
      <c r="AN19" s="116">
        <v>31140</v>
      </c>
      <c r="AO19" s="116">
        <v>31140</v>
      </c>
      <c r="AP19" s="116">
        <v>31170</v>
      </c>
      <c r="AQ19" s="116">
        <v>31210</v>
      </c>
      <c r="AR19" s="116">
        <v>31280</v>
      </c>
      <c r="AS19" s="116">
        <v>31360</v>
      </c>
      <c r="AT19" s="116">
        <v>31440</v>
      </c>
      <c r="AU19" s="116">
        <v>31520</v>
      </c>
      <c r="AV19" s="116">
        <v>31590</v>
      </c>
      <c r="AW19" s="116">
        <v>31650</v>
      </c>
      <c r="AX19" s="116">
        <v>31680</v>
      </c>
      <c r="AY19" s="116">
        <v>31690</v>
      </c>
      <c r="AZ19" s="116">
        <v>31680</v>
      </c>
      <c r="BA19" s="116">
        <v>31660</v>
      </c>
      <c r="BB19" s="116">
        <v>31620</v>
      </c>
      <c r="BC19" s="116">
        <v>31590</v>
      </c>
      <c r="BD19" s="116">
        <v>31550</v>
      </c>
      <c r="BE19" s="116">
        <v>31510</v>
      </c>
      <c r="BF19" s="116">
        <v>31470</v>
      </c>
    </row>
    <row r="20" spans="1:58" ht="12.75">
      <c r="A20" s="118" t="s">
        <v>320</v>
      </c>
      <c r="B20" s="11"/>
      <c r="C20" s="116">
        <v>31570</v>
      </c>
      <c r="D20" s="116">
        <v>31210</v>
      </c>
      <c r="E20" s="116">
        <v>30020</v>
      </c>
      <c r="F20" s="116">
        <v>30250</v>
      </c>
      <c r="G20" s="116">
        <v>29890</v>
      </c>
      <c r="H20" s="116">
        <v>30770</v>
      </c>
      <c r="I20" s="116">
        <v>30270</v>
      </c>
      <c r="J20" s="116">
        <v>29070</v>
      </c>
      <c r="K20" s="116">
        <v>29610</v>
      </c>
      <c r="L20" s="116">
        <v>30430</v>
      </c>
      <c r="M20" s="116">
        <v>30400</v>
      </c>
      <c r="N20" s="116">
        <v>31240</v>
      </c>
      <c r="O20" s="116">
        <v>32730</v>
      </c>
      <c r="P20" s="116">
        <v>32870</v>
      </c>
      <c r="Q20" s="116">
        <v>32730</v>
      </c>
      <c r="R20" s="116">
        <v>32420</v>
      </c>
      <c r="S20" s="116">
        <v>32170</v>
      </c>
      <c r="T20" s="116">
        <v>31960</v>
      </c>
      <c r="U20" s="116">
        <v>31790</v>
      </c>
      <c r="V20" s="116">
        <v>31660</v>
      </c>
      <c r="W20" s="116">
        <v>31560</v>
      </c>
      <c r="X20" s="116">
        <v>31500</v>
      </c>
      <c r="Y20" s="116">
        <v>31460</v>
      </c>
      <c r="Z20" s="116">
        <v>31440</v>
      </c>
      <c r="AA20" s="116">
        <v>31430</v>
      </c>
      <c r="AB20" s="116">
        <v>31420</v>
      </c>
      <c r="AC20" s="116">
        <v>31420</v>
      </c>
      <c r="AD20" s="116">
        <v>31430</v>
      </c>
      <c r="AE20" s="116">
        <v>31430</v>
      </c>
      <c r="AF20" s="116">
        <v>31440</v>
      </c>
      <c r="AG20" s="116">
        <v>31450</v>
      </c>
      <c r="AH20" s="116">
        <v>31460</v>
      </c>
      <c r="AI20" s="116">
        <v>31460</v>
      </c>
      <c r="AJ20" s="116">
        <v>31430</v>
      </c>
      <c r="AK20" s="116">
        <v>31390</v>
      </c>
      <c r="AL20" s="116">
        <v>31350</v>
      </c>
      <c r="AM20" s="116">
        <v>31300</v>
      </c>
      <c r="AN20" s="116">
        <v>31260</v>
      </c>
      <c r="AO20" s="116">
        <v>31250</v>
      </c>
      <c r="AP20" s="116">
        <v>31250</v>
      </c>
      <c r="AQ20" s="116">
        <v>31270</v>
      </c>
      <c r="AR20" s="116">
        <v>31320</v>
      </c>
      <c r="AS20" s="116">
        <v>31380</v>
      </c>
      <c r="AT20" s="116">
        <v>31460</v>
      </c>
      <c r="AU20" s="116">
        <v>31540</v>
      </c>
      <c r="AV20" s="116">
        <v>31630</v>
      </c>
      <c r="AW20" s="116">
        <v>31700</v>
      </c>
      <c r="AX20" s="116">
        <v>31750</v>
      </c>
      <c r="AY20" s="116">
        <v>31780</v>
      </c>
      <c r="AZ20" s="116">
        <v>31800</v>
      </c>
      <c r="BA20" s="116">
        <v>31790</v>
      </c>
      <c r="BB20" s="116">
        <v>31760</v>
      </c>
      <c r="BC20" s="116">
        <v>31730</v>
      </c>
      <c r="BD20" s="116">
        <v>31690</v>
      </c>
      <c r="BE20" s="116">
        <v>31650</v>
      </c>
      <c r="BF20" s="116">
        <v>31610</v>
      </c>
    </row>
    <row r="21" spans="1:58" ht="12.75">
      <c r="A21" s="118" t="s">
        <v>321</v>
      </c>
      <c r="B21" s="11"/>
      <c r="C21" s="116">
        <v>31640</v>
      </c>
      <c r="D21" s="116">
        <v>31670</v>
      </c>
      <c r="E21" s="116">
        <v>31300</v>
      </c>
      <c r="F21" s="116">
        <v>30110</v>
      </c>
      <c r="G21" s="116">
        <v>30360</v>
      </c>
      <c r="H21" s="116">
        <v>29990</v>
      </c>
      <c r="I21" s="116">
        <v>30870</v>
      </c>
      <c r="J21" s="116">
        <v>30370</v>
      </c>
      <c r="K21" s="116">
        <v>29180</v>
      </c>
      <c r="L21" s="116">
        <v>29710</v>
      </c>
      <c r="M21" s="116">
        <v>30530</v>
      </c>
      <c r="N21" s="116">
        <v>30500</v>
      </c>
      <c r="O21" s="116">
        <v>31340</v>
      </c>
      <c r="P21" s="116">
        <v>32830</v>
      </c>
      <c r="Q21" s="116">
        <v>32970</v>
      </c>
      <c r="R21" s="116">
        <v>32830</v>
      </c>
      <c r="S21" s="116">
        <v>32530</v>
      </c>
      <c r="T21" s="116">
        <v>32270</v>
      </c>
      <c r="U21" s="116">
        <v>32060</v>
      </c>
      <c r="V21" s="116">
        <v>31890</v>
      </c>
      <c r="W21" s="116">
        <v>31760</v>
      </c>
      <c r="X21" s="116">
        <v>31670</v>
      </c>
      <c r="Y21" s="116">
        <v>31600</v>
      </c>
      <c r="Z21" s="116">
        <v>31570</v>
      </c>
      <c r="AA21" s="116">
        <v>31540</v>
      </c>
      <c r="AB21" s="116">
        <v>31530</v>
      </c>
      <c r="AC21" s="116">
        <v>31530</v>
      </c>
      <c r="AD21" s="116">
        <v>31530</v>
      </c>
      <c r="AE21" s="116">
        <v>31530</v>
      </c>
      <c r="AF21" s="116">
        <v>31540</v>
      </c>
      <c r="AG21" s="116">
        <v>31550</v>
      </c>
      <c r="AH21" s="116">
        <v>31560</v>
      </c>
      <c r="AI21" s="116">
        <v>31560</v>
      </c>
      <c r="AJ21" s="116">
        <v>31560</v>
      </c>
      <c r="AK21" s="116">
        <v>31540</v>
      </c>
      <c r="AL21" s="116">
        <v>31500</v>
      </c>
      <c r="AM21" s="116">
        <v>31450</v>
      </c>
      <c r="AN21" s="116">
        <v>31400</v>
      </c>
      <c r="AO21" s="116">
        <v>31370</v>
      </c>
      <c r="AP21" s="116">
        <v>31350</v>
      </c>
      <c r="AQ21" s="116">
        <v>31350</v>
      </c>
      <c r="AR21" s="116">
        <v>31380</v>
      </c>
      <c r="AS21" s="116">
        <v>31420</v>
      </c>
      <c r="AT21" s="116">
        <v>31490</v>
      </c>
      <c r="AU21" s="116">
        <v>31570</v>
      </c>
      <c r="AV21" s="116">
        <v>31650</v>
      </c>
      <c r="AW21" s="116">
        <v>31730</v>
      </c>
      <c r="AX21" s="116">
        <v>31800</v>
      </c>
      <c r="AY21" s="116">
        <v>31860</v>
      </c>
      <c r="AZ21" s="116">
        <v>31890</v>
      </c>
      <c r="BA21" s="116">
        <v>31900</v>
      </c>
      <c r="BB21" s="116">
        <v>31890</v>
      </c>
      <c r="BC21" s="116">
        <v>31870</v>
      </c>
      <c r="BD21" s="116">
        <v>31840</v>
      </c>
      <c r="BE21" s="116">
        <v>31800</v>
      </c>
      <c r="BF21" s="116">
        <v>31760</v>
      </c>
    </row>
    <row r="22" spans="1:58" ht="12.75">
      <c r="A22" s="118" t="s">
        <v>322</v>
      </c>
      <c r="B22" s="11"/>
      <c r="C22" s="116">
        <v>32400</v>
      </c>
      <c r="D22" s="116">
        <v>31750</v>
      </c>
      <c r="E22" s="116">
        <v>31770</v>
      </c>
      <c r="F22" s="116">
        <v>31400</v>
      </c>
      <c r="G22" s="116">
        <v>30220</v>
      </c>
      <c r="H22" s="116">
        <v>30460</v>
      </c>
      <c r="I22" s="116">
        <v>30100</v>
      </c>
      <c r="J22" s="116">
        <v>30980</v>
      </c>
      <c r="K22" s="116">
        <v>30480</v>
      </c>
      <c r="L22" s="116">
        <v>29280</v>
      </c>
      <c r="M22" s="116">
        <v>29820</v>
      </c>
      <c r="N22" s="116">
        <v>30640</v>
      </c>
      <c r="O22" s="116">
        <v>30610</v>
      </c>
      <c r="P22" s="116">
        <v>31450</v>
      </c>
      <c r="Q22" s="116">
        <v>32940</v>
      </c>
      <c r="R22" s="116">
        <v>33080</v>
      </c>
      <c r="S22" s="116">
        <v>32940</v>
      </c>
      <c r="T22" s="116">
        <v>32630</v>
      </c>
      <c r="U22" s="116">
        <v>32380</v>
      </c>
      <c r="V22" s="116">
        <v>32170</v>
      </c>
      <c r="W22" s="116">
        <v>32000</v>
      </c>
      <c r="X22" s="116">
        <v>31870</v>
      </c>
      <c r="Y22" s="116">
        <v>31770</v>
      </c>
      <c r="Z22" s="116">
        <v>31710</v>
      </c>
      <c r="AA22" s="116">
        <v>31670</v>
      </c>
      <c r="AB22" s="116">
        <v>31650</v>
      </c>
      <c r="AC22" s="116">
        <v>31640</v>
      </c>
      <c r="AD22" s="116">
        <v>31640</v>
      </c>
      <c r="AE22" s="116">
        <v>31630</v>
      </c>
      <c r="AF22" s="116">
        <v>31640</v>
      </c>
      <c r="AG22" s="116">
        <v>31650</v>
      </c>
      <c r="AH22" s="116">
        <v>31660</v>
      </c>
      <c r="AI22" s="116">
        <v>31670</v>
      </c>
      <c r="AJ22" s="116">
        <v>31670</v>
      </c>
      <c r="AK22" s="116">
        <v>31670</v>
      </c>
      <c r="AL22" s="116">
        <v>31650</v>
      </c>
      <c r="AM22" s="116">
        <v>31610</v>
      </c>
      <c r="AN22" s="116">
        <v>31560</v>
      </c>
      <c r="AO22" s="116">
        <v>31510</v>
      </c>
      <c r="AP22" s="116">
        <v>31480</v>
      </c>
      <c r="AQ22" s="116">
        <v>31460</v>
      </c>
      <c r="AR22" s="116">
        <v>31460</v>
      </c>
      <c r="AS22" s="116">
        <v>31490</v>
      </c>
      <c r="AT22" s="116">
        <v>31530</v>
      </c>
      <c r="AU22" s="116">
        <v>31600</v>
      </c>
      <c r="AV22" s="116">
        <v>31680</v>
      </c>
      <c r="AW22" s="116">
        <v>31760</v>
      </c>
      <c r="AX22" s="116">
        <v>31840</v>
      </c>
      <c r="AY22" s="116">
        <v>31910</v>
      </c>
      <c r="AZ22" s="116">
        <v>31960</v>
      </c>
      <c r="BA22" s="116">
        <v>32000</v>
      </c>
      <c r="BB22" s="116">
        <v>32010</v>
      </c>
      <c r="BC22" s="116">
        <v>32000</v>
      </c>
      <c r="BD22" s="116">
        <v>31980</v>
      </c>
      <c r="BE22" s="116">
        <v>31940</v>
      </c>
      <c r="BF22" s="116">
        <v>31900</v>
      </c>
    </row>
    <row r="23" spans="1:58" ht="12.75">
      <c r="A23" s="118" t="s">
        <v>323</v>
      </c>
      <c r="B23" s="11"/>
      <c r="C23" s="116">
        <v>32800</v>
      </c>
      <c r="D23" s="116">
        <v>32510</v>
      </c>
      <c r="E23" s="116">
        <v>31860</v>
      </c>
      <c r="F23" s="116">
        <v>31880</v>
      </c>
      <c r="G23" s="116">
        <v>31520</v>
      </c>
      <c r="H23" s="116">
        <v>30340</v>
      </c>
      <c r="I23" s="116">
        <v>30580</v>
      </c>
      <c r="J23" s="116">
        <v>30220</v>
      </c>
      <c r="K23" s="116">
        <v>31100</v>
      </c>
      <c r="L23" s="116">
        <v>30600</v>
      </c>
      <c r="M23" s="116">
        <v>29400</v>
      </c>
      <c r="N23" s="116">
        <v>29940</v>
      </c>
      <c r="O23" s="116">
        <v>30760</v>
      </c>
      <c r="P23" s="116">
        <v>30730</v>
      </c>
      <c r="Q23" s="116">
        <v>31570</v>
      </c>
      <c r="R23" s="116">
        <v>33060</v>
      </c>
      <c r="S23" s="116">
        <v>33200</v>
      </c>
      <c r="T23" s="116">
        <v>33060</v>
      </c>
      <c r="U23" s="116">
        <v>32750</v>
      </c>
      <c r="V23" s="116">
        <v>32500</v>
      </c>
      <c r="W23" s="116">
        <v>32290</v>
      </c>
      <c r="X23" s="116">
        <v>32120</v>
      </c>
      <c r="Y23" s="116">
        <v>31990</v>
      </c>
      <c r="Z23" s="116">
        <v>31900</v>
      </c>
      <c r="AA23" s="116">
        <v>31830</v>
      </c>
      <c r="AB23" s="116">
        <v>31800</v>
      </c>
      <c r="AC23" s="116">
        <v>31770</v>
      </c>
      <c r="AD23" s="116">
        <v>31760</v>
      </c>
      <c r="AE23" s="116">
        <v>31760</v>
      </c>
      <c r="AF23" s="116">
        <v>31760</v>
      </c>
      <c r="AG23" s="116">
        <v>31760</v>
      </c>
      <c r="AH23" s="116">
        <v>31770</v>
      </c>
      <c r="AI23" s="116">
        <v>31780</v>
      </c>
      <c r="AJ23" s="116">
        <v>31790</v>
      </c>
      <c r="AK23" s="116">
        <v>31790</v>
      </c>
      <c r="AL23" s="116">
        <v>31790</v>
      </c>
      <c r="AM23" s="116">
        <v>31770</v>
      </c>
      <c r="AN23" s="116">
        <v>31730</v>
      </c>
      <c r="AO23" s="116">
        <v>31680</v>
      </c>
      <c r="AP23" s="116">
        <v>31640</v>
      </c>
      <c r="AQ23" s="116">
        <v>31600</v>
      </c>
      <c r="AR23" s="116">
        <v>31580</v>
      </c>
      <c r="AS23" s="116">
        <v>31590</v>
      </c>
      <c r="AT23" s="116">
        <v>31610</v>
      </c>
      <c r="AU23" s="116">
        <v>31660</v>
      </c>
      <c r="AV23" s="116">
        <v>31720</v>
      </c>
      <c r="AW23" s="116">
        <v>31800</v>
      </c>
      <c r="AX23" s="116">
        <v>31880</v>
      </c>
      <c r="AY23" s="116">
        <v>31960</v>
      </c>
      <c r="AZ23" s="116">
        <v>32030</v>
      </c>
      <c r="BA23" s="116">
        <v>32090</v>
      </c>
      <c r="BB23" s="116">
        <v>32120</v>
      </c>
      <c r="BC23" s="116">
        <v>32130</v>
      </c>
      <c r="BD23" s="116">
        <v>32120</v>
      </c>
      <c r="BE23" s="116">
        <v>32100</v>
      </c>
      <c r="BF23" s="116">
        <v>32070</v>
      </c>
    </row>
    <row r="24" spans="1:58" ht="12.75">
      <c r="A24" s="118" t="s">
        <v>324</v>
      </c>
      <c r="B24" s="11"/>
      <c r="C24" s="116">
        <v>33590</v>
      </c>
      <c r="D24" s="116">
        <v>32950</v>
      </c>
      <c r="E24" s="116">
        <v>32650</v>
      </c>
      <c r="F24" s="116">
        <v>32000</v>
      </c>
      <c r="G24" s="116">
        <v>32030</v>
      </c>
      <c r="H24" s="116">
        <v>31670</v>
      </c>
      <c r="I24" s="116">
        <v>30490</v>
      </c>
      <c r="J24" s="116">
        <v>30730</v>
      </c>
      <c r="K24" s="116">
        <v>30370</v>
      </c>
      <c r="L24" s="116">
        <v>31250</v>
      </c>
      <c r="M24" s="116">
        <v>30750</v>
      </c>
      <c r="N24" s="116">
        <v>29560</v>
      </c>
      <c r="O24" s="116">
        <v>30090</v>
      </c>
      <c r="P24" s="116">
        <v>30910</v>
      </c>
      <c r="Q24" s="116">
        <v>30880</v>
      </c>
      <c r="R24" s="116">
        <v>31720</v>
      </c>
      <c r="S24" s="116">
        <v>33210</v>
      </c>
      <c r="T24" s="116">
        <v>33350</v>
      </c>
      <c r="U24" s="116">
        <v>33210</v>
      </c>
      <c r="V24" s="116">
        <v>32900</v>
      </c>
      <c r="W24" s="116">
        <v>32650</v>
      </c>
      <c r="X24" s="116">
        <v>32440</v>
      </c>
      <c r="Y24" s="116">
        <v>32270</v>
      </c>
      <c r="Z24" s="116">
        <v>32140</v>
      </c>
      <c r="AA24" s="116">
        <v>32050</v>
      </c>
      <c r="AB24" s="116">
        <v>31980</v>
      </c>
      <c r="AC24" s="116">
        <v>31950</v>
      </c>
      <c r="AD24" s="116">
        <v>31930</v>
      </c>
      <c r="AE24" s="116">
        <v>31920</v>
      </c>
      <c r="AF24" s="116">
        <v>31910</v>
      </c>
      <c r="AG24" s="116">
        <v>31910</v>
      </c>
      <c r="AH24" s="116">
        <v>31910</v>
      </c>
      <c r="AI24" s="116">
        <v>31920</v>
      </c>
      <c r="AJ24" s="116">
        <v>31930</v>
      </c>
      <c r="AK24" s="116">
        <v>31940</v>
      </c>
      <c r="AL24" s="116">
        <v>31950</v>
      </c>
      <c r="AM24" s="116">
        <v>31950</v>
      </c>
      <c r="AN24" s="116">
        <v>31920</v>
      </c>
      <c r="AO24" s="116">
        <v>31880</v>
      </c>
      <c r="AP24" s="116">
        <v>31830</v>
      </c>
      <c r="AQ24" s="116">
        <v>31790</v>
      </c>
      <c r="AR24" s="116">
        <v>31750</v>
      </c>
      <c r="AS24" s="116">
        <v>31740</v>
      </c>
      <c r="AT24" s="116">
        <v>31740</v>
      </c>
      <c r="AU24" s="116">
        <v>31760</v>
      </c>
      <c r="AV24" s="116">
        <v>31810</v>
      </c>
      <c r="AW24" s="116">
        <v>31870</v>
      </c>
      <c r="AX24" s="116">
        <v>31950</v>
      </c>
      <c r="AY24" s="116">
        <v>32030</v>
      </c>
      <c r="AZ24" s="116">
        <v>32120</v>
      </c>
      <c r="BA24" s="116">
        <v>32190</v>
      </c>
      <c r="BB24" s="116">
        <v>32240</v>
      </c>
      <c r="BC24" s="116">
        <v>32270</v>
      </c>
      <c r="BD24" s="116">
        <v>32280</v>
      </c>
      <c r="BE24" s="116">
        <v>32280</v>
      </c>
      <c r="BF24" s="116">
        <v>32250</v>
      </c>
    </row>
    <row r="25" spans="1:58" ht="12.75">
      <c r="A25" s="118" t="s">
        <v>325</v>
      </c>
      <c r="B25" s="11"/>
      <c r="C25" s="116">
        <v>32610</v>
      </c>
      <c r="D25" s="116">
        <v>33770</v>
      </c>
      <c r="E25" s="116">
        <v>33120</v>
      </c>
      <c r="F25" s="116">
        <v>32830</v>
      </c>
      <c r="G25" s="116">
        <v>32180</v>
      </c>
      <c r="H25" s="116">
        <v>32220</v>
      </c>
      <c r="I25" s="116">
        <v>31850</v>
      </c>
      <c r="J25" s="116">
        <v>30680</v>
      </c>
      <c r="K25" s="116">
        <v>30920</v>
      </c>
      <c r="L25" s="116">
        <v>30550</v>
      </c>
      <c r="M25" s="116">
        <v>31440</v>
      </c>
      <c r="N25" s="116">
        <v>30940</v>
      </c>
      <c r="O25" s="116">
        <v>29740</v>
      </c>
      <c r="P25" s="116">
        <v>30280</v>
      </c>
      <c r="Q25" s="116">
        <v>31100</v>
      </c>
      <c r="R25" s="116">
        <v>31070</v>
      </c>
      <c r="S25" s="116">
        <v>31910</v>
      </c>
      <c r="T25" s="116">
        <v>33400</v>
      </c>
      <c r="U25" s="116">
        <v>33540</v>
      </c>
      <c r="V25" s="116">
        <v>33400</v>
      </c>
      <c r="W25" s="116">
        <v>33090</v>
      </c>
      <c r="X25" s="116">
        <v>32840</v>
      </c>
      <c r="Y25" s="116">
        <v>32630</v>
      </c>
      <c r="Z25" s="116">
        <v>32460</v>
      </c>
      <c r="AA25" s="116">
        <v>32330</v>
      </c>
      <c r="AB25" s="116">
        <v>32240</v>
      </c>
      <c r="AC25" s="116">
        <v>32180</v>
      </c>
      <c r="AD25" s="116">
        <v>32140</v>
      </c>
      <c r="AE25" s="116">
        <v>32120</v>
      </c>
      <c r="AF25" s="116">
        <v>32110</v>
      </c>
      <c r="AG25" s="116">
        <v>32100</v>
      </c>
      <c r="AH25" s="116">
        <v>32100</v>
      </c>
      <c r="AI25" s="116">
        <v>32100</v>
      </c>
      <c r="AJ25" s="116">
        <v>32110</v>
      </c>
      <c r="AK25" s="116">
        <v>32120</v>
      </c>
      <c r="AL25" s="116">
        <v>32130</v>
      </c>
      <c r="AM25" s="116">
        <v>32140</v>
      </c>
      <c r="AN25" s="116">
        <v>32140</v>
      </c>
      <c r="AO25" s="116">
        <v>32110</v>
      </c>
      <c r="AP25" s="116">
        <v>32070</v>
      </c>
      <c r="AQ25" s="116">
        <v>32030</v>
      </c>
      <c r="AR25" s="116">
        <v>31980</v>
      </c>
      <c r="AS25" s="116">
        <v>31950</v>
      </c>
      <c r="AT25" s="116">
        <v>31930</v>
      </c>
      <c r="AU25" s="116">
        <v>31930</v>
      </c>
      <c r="AV25" s="116">
        <v>31960</v>
      </c>
      <c r="AW25" s="116">
        <v>32000</v>
      </c>
      <c r="AX25" s="116">
        <v>32070</v>
      </c>
      <c r="AY25" s="116">
        <v>32140</v>
      </c>
      <c r="AZ25" s="116">
        <v>32230</v>
      </c>
      <c r="BA25" s="116">
        <v>32310</v>
      </c>
      <c r="BB25" s="116">
        <v>32380</v>
      </c>
      <c r="BC25" s="116">
        <v>32430</v>
      </c>
      <c r="BD25" s="116">
        <v>32470</v>
      </c>
      <c r="BE25" s="116">
        <v>32480</v>
      </c>
      <c r="BF25" s="116">
        <v>32470</v>
      </c>
    </row>
    <row r="26" spans="1:58" ht="12.75">
      <c r="A26" s="118" t="s">
        <v>326</v>
      </c>
      <c r="B26" s="11"/>
      <c r="C26" s="116">
        <v>31820</v>
      </c>
      <c r="D26" s="116">
        <v>32820</v>
      </c>
      <c r="E26" s="116">
        <v>33960</v>
      </c>
      <c r="F26" s="116">
        <v>33320</v>
      </c>
      <c r="G26" s="116">
        <v>33040</v>
      </c>
      <c r="H26" s="116">
        <v>32400</v>
      </c>
      <c r="I26" s="116">
        <v>32430</v>
      </c>
      <c r="J26" s="116">
        <v>32060</v>
      </c>
      <c r="K26" s="116">
        <v>30890</v>
      </c>
      <c r="L26" s="116">
        <v>31130</v>
      </c>
      <c r="M26" s="116">
        <v>30770</v>
      </c>
      <c r="N26" s="116">
        <v>31650</v>
      </c>
      <c r="O26" s="116">
        <v>31150</v>
      </c>
      <c r="P26" s="116">
        <v>29960</v>
      </c>
      <c r="Q26" s="116">
        <v>30500</v>
      </c>
      <c r="R26" s="116">
        <v>31320</v>
      </c>
      <c r="S26" s="116">
        <v>31280</v>
      </c>
      <c r="T26" s="116">
        <v>32130</v>
      </c>
      <c r="U26" s="116">
        <v>33610</v>
      </c>
      <c r="V26" s="116">
        <v>33760</v>
      </c>
      <c r="W26" s="116">
        <v>33610</v>
      </c>
      <c r="X26" s="116">
        <v>33310</v>
      </c>
      <c r="Y26" s="116">
        <v>33060</v>
      </c>
      <c r="Z26" s="116">
        <v>32850</v>
      </c>
      <c r="AA26" s="116">
        <v>32680</v>
      </c>
      <c r="AB26" s="116">
        <v>32550</v>
      </c>
      <c r="AC26" s="116">
        <v>32450</v>
      </c>
      <c r="AD26" s="116">
        <v>32390</v>
      </c>
      <c r="AE26" s="116">
        <v>32360</v>
      </c>
      <c r="AF26" s="116">
        <v>32340</v>
      </c>
      <c r="AG26" s="116">
        <v>32320</v>
      </c>
      <c r="AH26" s="116">
        <v>32320</v>
      </c>
      <c r="AI26" s="116">
        <v>32320</v>
      </c>
      <c r="AJ26" s="116">
        <v>32320</v>
      </c>
      <c r="AK26" s="116">
        <v>32330</v>
      </c>
      <c r="AL26" s="116">
        <v>32340</v>
      </c>
      <c r="AM26" s="116">
        <v>32350</v>
      </c>
      <c r="AN26" s="116">
        <v>32360</v>
      </c>
      <c r="AO26" s="116">
        <v>32360</v>
      </c>
      <c r="AP26" s="116">
        <v>32330</v>
      </c>
      <c r="AQ26" s="116">
        <v>32290</v>
      </c>
      <c r="AR26" s="116">
        <v>32250</v>
      </c>
      <c r="AS26" s="116">
        <v>32200</v>
      </c>
      <c r="AT26" s="116">
        <v>32170</v>
      </c>
      <c r="AU26" s="116">
        <v>32150</v>
      </c>
      <c r="AV26" s="116">
        <v>32150</v>
      </c>
      <c r="AW26" s="116">
        <v>32180</v>
      </c>
      <c r="AX26" s="116">
        <v>32220</v>
      </c>
      <c r="AY26" s="116">
        <v>32290</v>
      </c>
      <c r="AZ26" s="116">
        <v>32360</v>
      </c>
      <c r="BA26" s="116">
        <v>32450</v>
      </c>
      <c r="BB26" s="116">
        <v>32530</v>
      </c>
      <c r="BC26" s="116">
        <v>32600</v>
      </c>
      <c r="BD26" s="116">
        <v>32650</v>
      </c>
      <c r="BE26" s="116">
        <v>32690</v>
      </c>
      <c r="BF26" s="116">
        <v>32700</v>
      </c>
    </row>
    <row r="27" spans="1:58" ht="12.75">
      <c r="A27" s="118" t="s">
        <v>327</v>
      </c>
      <c r="B27" s="11"/>
      <c r="C27" s="116">
        <v>31140</v>
      </c>
      <c r="D27" s="116">
        <v>32040</v>
      </c>
      <c r="E27" s="116">
        <v>33010</v>
      </c>
      <c r="F27" s="116">
        <v>34170</v>
      </c>
      <c r="G27" s="116">
        <v>33540</v>
      </c>
      <c r="H27" s="116">
        <v>33250</v>
      </c>
      <c r="I27" s="116">
        <v>32610</v>
      </c>
      <c r="J27" s="116">
        <v>32650</v>
      </c>
      <c r="K27" s="116">
        <v>32280</v>
      </c>
      <c r="L27" s="116">
        <v>31110</v>
      </c>
      <c r="M27" s="116">
        <v>31350</v>
      </c>
      <c r="N27" s="116">
        <v>30990</v>
      </c>
      <c r="O27" s="116">
        <v>31870</v>
      </c>
      <c r="P27" s="116">
        <v>31380</v>
      </c>
      <c r="Q27" s="116">
        <v>30180</v>
      </c>
      <c r="R27" s="116">
        <v>30720</v>
      </c>
      <c r="S27" s="116">
        <v>31540</v>
      </c>
      <c r="T27" s="116">
        <v>31510</v>
      </c>
      <c r="U27" s="116">
        <v>32350</v>
      </c>
      <c r="V27" s="116">
        <v>33840</v>
      </c>
      <c r="W27" s="116">
        <v>33980</v>
      </c>
      <c r="X27" s="116">
        <v>33840</v>
      </c>
      <c r="Y27" s="116">
        <v>33530</v>
      </c>
      <c r="Z27" s="116">
        <v>33280</v>
      </c>
      <c r="AA27" s="116">
        <v>33070</v>
      </c>
      <c r="AB27" s="116">
        <v>32900</v>
      </c>
      <c r="AC27" s="116">
        <v>32770</v>
      </c>
      <c r="AD27" s="116">
        <v>32680</v>
      </c>
      <c r="AE27" s="116">
        <v>32620</v>
      </c>
      <c r="AF27" s="116">
        <v>32580</v>
      </c>
      <c r="AG27" s="116">
        <v>32560</v>
      </c>
      <c r="AH27" s="116">
        <v>32550</v>
      </c>
      <c r="AI27" s="116">
        <v>32550</v>
      </c>
      <c r="AJ27" s="116">
        <v>32550</v>
      </c>
      <c r="AK27" s="116">
        <v>32550</v>
      </c>
      <c r="AL27" s="116">
        <v>32560</v>
      </c>
      <c r="AM27" s="116">
        <v>32570</v>
      </c>
      <c r="AN27" s="116">
        <v>32580</v>
      </c>
      <c r="AO27" s="116">
        <v>32580</v>
      </c>
      <c r="AP27" s="116">
        <v>32580</v>
      </c>
      <c r="AQ27" s="116">
        <v>32560</v>
      </c>
      <c r="AR27" s="116">
        <v>32520</v>
      </c>
      <c r="AS27" s="116">
        <v>32470</v>
      </c>
      <c r="AT27" s="116">
        <v>32430</v>
      </c>
      <c r="AU27" s="116">
        <v>32390</v>
      </c>
      <c r="AV27" s="116">
        <v>32370</v>
      </c>
      <c r="AW27" s="116">
        <v>32380</v>
      </c>
      <c r="AX27" s="116">
        <v>32400</v>
      </c>
      <c r="AY27" s="116">
        <v>32450</v>
      </c>
      <c r="AZ27" s="116">
        <v>32510</v>
      </c>
      <c r="BA27" s="116">
        <v>32590</v>
      </c>
      <c r="BB27" s="116">
        <v>32670</v>
      </c>
      <c r="BC27" s="116">
        <v>32760</v>
      </c>
      <c r="BD27" s="116">
        <v>32830</v>
      </c>
      <c r="BE27" s="116">
        <v>32880</v>
      </c>
      <c r="BF27" s="116">
        <v>32910</v>
      </c>
    </row>
    <row r="28" spans="1:58" ht="12.75">
      <c r="A28" s="118" t="s">
        <v>328</v>
      </c>
      <c r="B28" s="11"/>
      <c r="C28" s="116">
        <v>30250</v>
      </c>
      <c r="D28" s="116">
        <v>31350</v>
      </c>
      <c r="E28" s="116">
        <v>32220</v>
      </c>
      <c r="F28" s="116">
        <v>33210</v>
      </c>
      <c r="G28" s="116">
        <v>34370</v>
      </c>
      <c r="H28" s="116">
        <v>33750</v>
      </c>
      <c r="I28" s="116">
        <v>33460</v>
      </c>
      <c r="J28" s="116">
        <v>32830</v>
      </c>
      <c r="K28" s="116">
        <v>32860</v>
      </c>
      <c r="L28" s="116">
        <v>32500</v>
      </c>
      <c r="M28" s="116">
        <v>31330</v>
      </c>
      <c r="N28" s="116">
        <v>31570</v>
      </c>
      <c r="O28" s="116">
        <v>31210</v>
      </c>
      <c r="P28" s="116">
        <v>32090</v>
      </c>
      <c r="Q28" s="116">
        <v>31590</v>
      </c>
      <c r="R28" s="116">
        <v>30400</v>
      </c>
      <c r="S28" s="116">
        <v>30940</v>
      </c>
      <c r="T28" s="116">
        <v>31760</v>
      </c>
      <c r="U28" s="116">
        <v>31720</v>
      </c>
      <c r="V28" s="116">
        <v>32570</v>
      </c>
      <c r="W28" s="116">
        <v>34050</v>
      </c>
      <c r="X28" s="116">
        <v>34190</v>
      </c>
      <c r="Y28" s="116">
        <v>34050</v>
      </c>
      <c r="Z28" s="116">
        <v>33750</v>
      </c>
      <c r="AA28" s="116">
        <v>33500</v>
      </c>
      <c r="AB28" s="116">
        <v>33290</v>
      </c>
      <c r="AC28" s="116">
        <v>33120</v>
      </c>
      <c r="AD28" s="116">
        <v>32990</v>
      </c>
      <c r="AE28" s="116">
        <v>32900</v>
      </c>
      <c r="AF28" s="116">
        <v>32840</v>
      </c>
      <c r="AG28" s="116">
        <v>32800</v>
      </c>
      <c r="AH28" s="116">
        <v>32780</v>
      </c>
      <c r="AI28" s="116">
        <v>32770</v>
      </c>
      <c r="AJ28" s="116">
        <v>32760</v>
      </c>
      <c r="AK28" s="116">
        <v>32760</v>
      </c>
      <c r="AL28" s="116">
        <v>32770</v>
      </c>
      <c r="AM28" s="116">
        <v>32780</v>
      </c>
      <c r="AN28" s="116">
        <v>32790</v>
      </c>
      <c r="AO28" s="116">
        <v>32800</v>
      </c>
      <c r="AP28" s="116">
        <v>32800</v>
      </c>
      <c r="AQ28" s="116">
        <v>32800</v>
      </c>
      <c r="AR28" s="116">
        <v>32780</v>
      </c>
      <c r="AS28" s="116">
        <v>32740</v>
      </c>
      <c r="AT28" s="116">
        <v>32690</v>
      </c>
      <c r="AU28" s="116">
        <v>32650</v>
      </c>
      <c r="AV28" s="116">
        <v>32610</v>
      </c>
      <c r="AW28" s="116">
        <v>32600</v>
      </c>
      <c r="AX28" s="116">
        <v>32600</v>
      </c>
      <c r="AY28" s="116">
        <v>32620</v>
      </c>
      <c r="AZ28" s="116">
        <v>32670</v>
      </c>
      <c r="BA28" s="116">
        <v>32740</v>
      </c>
      <c r="BB28" s="116">
        <v>32810</v>
      </c>
      <c r="BC28" s="116">
        <v>32900</v>
      </c>
      <c r="BD28" s="116">
        <v>32980</v>
      </c>
      <c r="BE28" s="116">
        <v>33050</v>
      </c>
      <c r="BF28" s="116">
        <v>33100</v>
      </c>
    </row>
    <row r="29" spans="1:58" ht="12.75">
      <c r="A29" s="118" t="s">
        <v>329</v>
      </c>
      <c r="B29" s="11"/>
      <c r="C29" s="116">
        <v>29830</v>
      </c>
      <c r="D29" s="116">
        <v>30380</v>
      </c>
      <c r="E29" s="116">
        <v>31420</v>
      </c>
      <c r="F29" s="116">
        <v>32330</v>
      </c>
      <c r="G29" s="116">
        <v>33350</v>
      </c>
      <c r="H29" s="116">
        <v>34510</v>
      </c>
      <c r="I29" s="116">
        <v>33880</v>
      </c>
      <c r="J29" s="116">
        <v>33600</v>
      </c>
      <c r="K29" s="116">
        <v>32960</v>
      </c>
      <c r="L29" s="116">
        <v>33000</v>
      </c>
      <c r="M29" s="116">
        <v>32640</v>
      </c>
      <c r="N29" s="116">
        <v>31470</v>
      </c>
      <c r="O29" s="116">
        <v>31710</v>
      </c>
      <c r="P29" s="116">
        <v>31350</v>
      </c>
      <c r="Q29" s="116">
        <v>32230</v>
      </c>
      <c r="R29" s="116">
        <v>31730</v>
      </c>
      <c r="S29" s="116">
        <v>30540</v>
      </c>
      <c r="T29" s="116">
        <v>31080</v>
      </c>
      <c r="U29" s="116">
        <v>31900</v>
      </c>
      <c r="V29" s="116">
        <v>31870</v>
      </c>
      <c r="W29" s="116">
        <v>32710</v>
      </c>
      <c r="X29" s="116">
        <v>34190</v>
      </c>
      <c r="Y29" s="116">
        <v>34340</v>
      </c>
      <c r="Z29" s="116">
        <v>34190</v>
      </c>
      <c r="AA29" s="116">
        <v>33890</v>
      </c>
      <c r="AB29" s="116">
        <v>33640</v>
      </c>
      <c r="AC29" s="116">
        <v>33430</v>
      </c>
      <c r="AD29" s="116">
        <v>33260</v>
      </c>
      <c r="AE29" s="116">
        <v>33140</v>
      </c>
      <c r="AF29" s="116">
        <v>33040</v>
      </c>
      <c r="AG29" s="116">
        <v>32980</v>
      </c>
      <c r="AH29" s="116">
        <v>32950</v>
      </c>
      <c r="AI29" s="116">
        <v>32930</v>
      </c>
      <c r="AJ29" s="116">
        <v>32920</v>
      </c>
      <c r="AK29" s="116">
        <v>32910</v>
      </c>
      <c r="AL29" s="116">
        <v>32910</v>
      </c>
      <c r="AM29" s="116">
        <v>32910</v>
      </c>
      <c r="AN29" s="116">
        <v>32920</v>
      </c>
      <c r="AO29" s="116">
        <v>32930</v>
      </c>
      <c r="AP29" s="116">
        <v>32950</v>
      </c>
      <c r="AQ29" s="116">
        <v>32950</v>
      </c>
      <c r="AR29" s="116">
        <v>32950</v>
      </c>
      <c r="AS29" s="116">
        <v>32930</v>
      </c>
      <c r="AT29" s="116">
        <v>32890</v>
      </c>
      <c r="AU29" s="116">
        <v>32840</v>
      </c>
      <c r="AV29" s="116">
        <v>32790</v>
      </c>
      <c r="AW29" s="116">
        <v>32760</v>
      </c>
      <c r="AX29" s="116">
        <v>32740</v>
      </c>
      <c r="AY29" s="116">
        <v>32750</v>
      </c>
      <c r="AZ29" s="116">
        <v>32770</v>
      </c>
      <c r="BA29" s="116">
        <v>32820</v>
      </c>
      <c r="BB29" s="116">
        <v>32880</v>
      </c>
      <c r="BC29" s="116">
        <v>32960</v>
      </c>
      <c r="BD29" s="116">
        <v>33040</v>
      </c>
      <c r="BE29" s="116">
        <v>33120</v>
      </c>
      <c r="BF29" s="116">
        <v>33190</v>
      </c>
    </row>
    <row r="30" spans="1:58" ht="12.75">
      <c r="A30" s="118" t="s">
        <v>330</v>
      </c>
      <c r="B30" s="11"/>
      <c r="C30" s="116">
        <v>29560</v>
      </c>
      <c r="D30" s="116">
        <v>29730</v>
      </c>
      <c r="E30" s="116">
        <v>30220</v>
      </c>
      <c r="F30" s="116">
        <v>31300</v>
      </c>
      <c r="G30" s="116">
        <v>32230</v>
      </c>
      <c r="H30" s="116">
        <v>33250</v>
      </c>
      <c r="I30" s="116">
        <v>34410</v>
      </c>
      <c r="J30" s="116">
        <v>33780</v>
      </c>
      <c r="K30" s="116">
        <v>33500</v>
      </c>
      <c r="L30" s="116">
        <v>32870</v>
      </c>
      <c r="M30" s="116">
        <v>32900</v>
      </c>
      <c r="N30" s="116">
        <v>32540</v>
      </c>
      <c r="O30" s="116">
        <v>31370</v>
      </c>
      <c r="P30" s="116">
        <v>31610</v>
      </c>
      <c r="Q30" s="116">
        <v>31250</v>
      </c>
      <c r="R30" s="116">
        <v>32130</v>
      </c>
      <c r="S30" s="116">
        <v>31640</v>
      </c>
      <c r="T30" s="116">
        <v>30450</v>
      </c>
      <c r="U30" s="116">
        <v>30990</v>
      </c>
      <c r="V30" s="116">
        <v>31810</v>
      </c>
      <c r="W30" s="116">
        <v>31770</v>
      </c>
      <c r="X30" s="116">
        <v>32620</v>
      </c>
      <c r="Y30" s="116">
        <v>34100</v>
      </c>
      <c r="Z30" s="116">
        <v>34240</v>
      </c>
      <c r="AA30" s="116">
        <v>34100</v>
      </c>
      <c r="AB30" s="116">
        <v>33800</v>
      </c>
      <c r="AC30" s="116">
        <v>33550</v>
      </c>
      <c r="AD30" s="116">
        <v>33340</v>
      </c>
      <c r="AE30" s="116">
        <v>33170</v>
      </c>
      <c r="AF30" s="116">
        <v>33040</v>
      </c>
      <c r="AG30" s="116">
        <v>32950</v>
      </c>
      <c r="AH30" s="116">
        <v>32890</v>
      </c>
      <c r="AI30" s="116">
        <v>32850</v>
      </c>
      <c r="AJ30" s="116">
        <v>32830</v>
      </c>
      <c r="AK30" s="116">
        <v>32830</v>
      </c>
      <c r="AL30" s="116">
        <v>32820</v>
      </c>
      <c r="AM30" s="116">
        <v>32820</v>
      </c>
      <c r="AN30" s="116">
        <v>32820</v>
      </c>
      <c r="AO30" s="116">
        <v>32830</v>
      </c>
      <c r="AP30" s="116">
        <v>32840</v>
      </c>
      <c r="AQ30" s="116">
        <v>32850</v>
      </c>
      <c r="AR30" s="116">
        <v>32860</v>
      </c>
      <c r="AS30" s="116">
        <v>32860</v>
      </c>
      <c r="AT30" s="116">
        <v>32840</v>
      </c>
      <c r="AU30" s="116">
        <v>32800</v>
      </c>
      <c r="AV30" s="116">
        <v>32750</v>
      </c>
      <c r="AW30" s="116">
        <v>32710</v>
      </c>
      <c r="AX30" s="116">
        <v>32670</v>
      </c>
      <c r="AY30" s="116">
        <v>32650</v>
      </c>
      <c r="AZ30" s="116">
        <v>32660</v>
      </c>
      <c r="BA30" s="116">
        <v>32680</v>
      </c>
      <c r="BB30" s="116">
        <v>32730</v>
      </c>
      <c r="BC30" s="116">
        <v>32790</v>
      </c>
      <c r="BD30" s="116">
        <v>32870</v>
      </c>
      <c r="BE30" s="116">
        <v>32950</v>
      </c>
      <c r="BF30" s="116">
        <v>33030</v>
      </c>
    </row>
    <row r="31" spans="1:58" ht="12.75">
      <c r="A31" s="118" t="s">
        <v>331</v>
      </c>
      <c r="B31" s="11"/>
      <c r="C31" s="116">
        <v>29400</v>
      </c>
      <c r="D31" s="116">
        <v>29200</v>
      </c>
      <c r="E31" s="116">
        <v>29330</v>
      </c>
      <c r="F31" s="116">
        <v>29850</v>
      </c>
      <c r="G31" s="116">
        <v>30940</v>
      </c>
      <c r="H31" s="116">
        <v>31870</v>
      </c>
      <c r="I31" s="116">
        <v>32890</v>
      </c>
      <c r="J31" s="116">
        <v>34050</v>
      </c>
      <c r="K31" s="116">
        <v>33430</v>
      </c>
      <c r="L31" s="116">
        <v>33150</v>
      </c>
      <c r="M31" s="116">
        <v>32510</v>
      </c>
      <c r="N31" s="116">
        <v>32540</v>
      </c>
      <c r="O31" s="116">
        <v>32180</v>
      </c>
      <c r="P31" s="116">
        <v>31020</v>
      </c>
      <c r="Q31" s="116">
        <v>31260</v>
      </c>
      <c r="R31" s="116">
        <v>30900</v>
      </c>
      <c r="S31" s="116">
        <v>31780</v>
      </c>
      <c r="T31" s="116">
        <v>31290</v>
      </c>
      <c r="U31" s="116">
        <v>30100</v>
      </c>
      <c r="V31" s="116">
        <v>30640</v>
      </c>
      <c r="W31" s="116">
        <v>31460</v>
      </c>
      <c r="X31" s="116">
        <v>31420</v>
      </c>
      <c r="Y31" s="116">
        <v>32270</v>
      </c>
      <c r="Z31" s="116">
        <v>33750</v>
      </c>
      <c r="AA31" s="116">
        <v>33890</v>
      </c>
      <c r="AB31" s="116">
        <v>33750</v>
      </c>
      <c r="AC31" s="116">
        <v>33450</v>
      </c>
      <c r="AD31" s="116">
        <v>33200</v>
      </c>
      <c r="AE31" s="116">
        <v>32990</v>
      </c>
      <c r="AF31" s="116">
        <v>32820</v>
      </c>
      <c r="AG31" s="116">
        <v>32690</v>
      </c>
      <c r="AH31" s="116">
        <v>32600</v>
      </c>
      <c r="AI31" s="116">
        <v>32540</v>
      </c>
      <c r="AJ31" s="116">
        <v>32510</v>
      </c>
      <c r="AK31" s="116">
        <v>32490</v>
      </c>
      <c r="AL31" s="116">
        <v>32480</v>
      </c>
      <c r="AM31" s="116">
        <v>32470</v>
      </c>
      <c r="AN31" s="116">
        <v>32470</v>
      </c>
      <c r="AO31" s="116">
        <v>32480</v>
      </c>
      <c r="AP31" s="116">
        <v>32490</v>
      </c>
      <c r="AQ31" s="116">
        <v>32500</v>
      </c>
      <c r="AR31" s="116">
        <v>32510</v>
      </c>
      <c r="AS31" s="116">
        <v>32520</v>
      </c>
      <c r="AT31" s="116">
        <v>32510</v>
      </c>
      <c r="AU31" s="116">
        <v>32490</v>
      </c>
      <c r="AV31" s="116">
        <v>32450</v>
      </c>
      <c r="AW31" s="116">
        <v>32410</v>
      </c>
      <c r="AX31" s="116">
        <v>32360</v>
      </c>
      <c r="AY31" s="116">
        <v>32330</v>
      </c>
      <c r="AZ31" s="116">
        <v>32310</v>
      </c>
      <c r="BA31" s="116">
        <v>32310</v>
      </c>
      <c r="BB31" s="116">
        <v>32340</v>
      </c>
      <c r="BC31" s="116">
        <v>32380</v>
      </c>
      <c r="BD31" s="116">
        <v>32450</v>
      </c>
      <c r="BE31" s="116">
        <v>32530</v>
      </c>
      <c r="BF31" s="116">
        <v>32610</v>
      </c>
    </row>
    <row r="32" spans="1:58" ht="12.75">
      <c r="A32" s="118" t="s">
        <v>332</v>
      </c>
      <c r="B32" s="11"/>
      <c r="C32" s="116">
        <v>29090</v>
      </c>
      <c r="D32" s="116">
        <v>28960</v>
      </c>
      <c r="E32" s="116">
        <v>28720</v>
      </c>
      <c r="F32" s="116">
        <v>28880</v>
      </c>
      <c r="G32" s="116">
        <v>29410</v>
      </c>
      <c r="H32" s="116">
        <v>30510</v>
      </c>
      <c r="I32" s="116">
        <v>31440</v>
      </c>
      <c r="J32" s="116">
        <v>32450</v>
      </c>
      <c r="K32" s="116">
        <v>33610</v>
      </c>
      <c r="L32" s="116">
        <v>32990</v>
      </c>
      <c r="M32" s="116">
        <v>32710</v>
      </c>
      <c r="N32" s="116">
        <v>32080</v>
      </c>
      <c r="O32" s="116">
        <v>32110</v>
      </c>
      <c r="P32" s="116">
        <v>31750</v>
      </c>
      <c r="Q32" s="116">
        <v>30590</v>
      </c>
      <c r="R32" s="116">
        <v>30830</v>
      </c>
      <c r="S32" s="116">
        <v>30470</v>
      </c>
      <c r="T32" s="116">
        <v>31350</v>
      </c>
      <c r="U32" s="116">
        <v>30860</v>
      </c>
      <c r="V32" s="116">
        <v>29670</v>
      </c>
      <c r="W32" s="116">
        <v>30210</v>
      </c>
      <c r="X32" s="116">
        <v>31030</v>
      </c>
      <c r="Y32" s="116">
        <v>31000</v>
      </c>
      <c r="Z32" s="116">
        <v>31840</v>
      </c>
      <c r="AA32" s="116">
        <v>33320</v>
      </c>
      <c r="AB32" s="116">
        <v>33460</v>
      </c>
      <c r="AC32" s="116">
        <v>33320</v>
      </c>
      <c r="AD32" s="116">
        <v>33020</v>
      </c>
      <c r="AE32" s="116">
        <v>32770</v>
      </c>
      <c r="AF32" s="116">
        <v>32560</v>
      </c>
      <c r="AG32" s="116">
        <v>32390</v>
      </c>
      <c r="AH32" s="116">
        <v>32270</v>
      </c>
      <c r="AI32" s="116">
        <v>32180</v>
      </c>
      <c r="AJ32" s="116">
        <v>32120</v>
      </c>
      <c r="AK32" s="116">
        <v>32080</v>
      </c>
      <c r="AL32" s="116">
        <v>32060</v>
      </c>
      <c r="AM32" s="116">
        <v>32050</v>
      </c>
      <c r="AN32" s="116">
        <v>32050</v>
      </c>
      <c r="AO32" s="116">
        <v>32050</v>
      </c>
      <c r="AP32" s="116">
        <v>32050</v>
      </c>
      <c r="AQ32" s="116">
        <v>32060</v>
      </c>
      <c r="AR32" s="116">
        <v>32070</v>
      </c>
      <c r="AS32" s="116">
        <v>32080</v>
      </c>
      <c r="AT32" s="116">
        <v>32090</v>
      </c>
      <c r="AU32" s="116">
        <v>32090</v>
      </c>
      <c r="AV32" s="116">
        <v>32070</v>
      </c>
      <c r="AW32" s="116">
        <v>32030</v>
      </c>
      <c r="AX32" s="116">
        <v>31980</v>
      </c>
      <c r="AY32" s="116">
        <v>31930</v>
      </c>
      <c r="AZ32" s="116">
        <v>31900</v>
      </c>
      <c r="BA32" s="116">
        <v>31880</v>
      </c>
      <c r="BB32" s="116">
        <v>31890</v>
      </c>
      <c r="BC32" s="116">
        <v>31910</v>
      </c>
      <c r="BD32" s="116">
        <v>31960</v>
      </c>
      <c r="BE32" s="116">
        <v>32020</v>
      </c>
      <c r="BF32" s="116">
        <v>32100</v>
      </c>
    </row>
    <row r="33" spans="1:58" ht="12.75">
      <c r="A33" s="118" t="s">
        <v>333</v>
      </c>
      <c r="B33" s="11"/>
      <c r="C33" s="116">
        <v>27970</v>
      </c>
      <c r="D33" s="116">
        <v>28690</v>
      </c>
      <c r="E33" s="116">
        <v>28500</v>
      </c>
      <c r="F33" s="116">
        <v>28300</v>
      </c>
      <c r="G33" s="116">
        <v>28480</v>
      </c>
      <c r="H33" s="116">
        <v>29010</v>
      </c>
      <c r="I33" s="116">
        <v>30110</v>
      </c>
      <c r="J33" s="116">
        <v>31030</v>
      </c>
      <c r="K33" s="116">
        <v>32050</v>
      </c>
      <c r="L33" s="116">
        <v>33210</v>
      </c>
      <c r="M33" s="116">
        <v>32590</v>
      </c>
      <c r="N33" s="116">
        <v>32310</v>
      </c>
      <c r="O33" s="116">
        <v>31670</v>
      </c>
      <c r="P33" s="116">
        <v>31710</v>
      </c>
      <c r="Q33" s="116">
        <v>31350</v>
      </c>
      <c r="R33" s="116">
        <v>30190</v>
      </c>
      <c r="S33" s="116">
        <v>30430</v>
      </c>
      <c r="T33" s="116">
        <v>30070</v>
      </c>
      <c r="U33" s="116">
        <v>30950</v>
      </c>
      <c r="V33" s="116">
        <v>30460</v>
      </c>
      <c r="W33" s="116">
        <v>29270</v>
      </c>
      <c r="X33" s="116">
        <v>29810</v>
      </c>
      <c r="Y33" s="116">
        <v>30630</v>
      </c>
      <c r="Z33" s="116">
        <v>30600</v>
      </c>
      <c r="AA33" s="116">
        <v>31440</v>
      </c>
      <c r="AB33" s="116">
        <v>32920</v>
      </c>
      <c r="AC33" s="116">
        <v>33060</v>
      </c>
      <c r="AD33" s="116">
        <v>32920</v>
      </c>
      <c r="AE33" s="116">
        <v>32620</v>
      </c>
      <c r="AF33" s="116">
        <v>32370</v>
      </c>
      <c r="AG33" s="116">
        <v>32170</v>
      </c>
      <c r="AH33" s="116">
        <v>32000</v>
      </c>
      <c r="AI33" s="116">
        <v>31870</v>
      </c>
      <c r="AJ33" s="116">
        <v>31780</v>
      </c>
      <c r="AK33" s="116">
        <v>31720</v>
      </c>
      <c r="AL33" s="116">
        <v>31690</v>
      </c>
      <c r="AM33" s="116">
        <v>31670</v>
      </c>
      <c r="AN33" s="116">
        <v>31660</v>
      </c>
      <c r="AO33" s="116">
        <v>31650</v>
      </c>
      <c r="AP33" s="116">
        <v>31650</v>
      </c>
      <c r="AQ33" s="116">
        <v>31660</v>
      </c>
      <c r="AR33" s="116">
        <v>31670</v>
      </c>
      <c r="AS33" s="116">
        <v>31680</v>
      </c>
      <c r="AT33" s="116">
        <v>31690</v>
      </c>
      <c r="AU33" s="116">
        <v>31700</v>
      </c>
      <c r="AV33" s="116">
        <v>31700</v>
      </c>
      <c r="AW33" s="116">
        <v>31670</v>
      </c>
      <c r="AX33" s="116">
        <v>31630</v>
      </c>
      <c r="AY33" s="116">
        <v>31590</v>
      </c>
      <c r="AZ33" s="116">
        <v>31540</v>
      </c>
      <c r="BA33" s="116">
        <v>31510</v>
      </c>
      <c r="BB33" s="116">
        <v>31490</v>
      </c>
      <c r="BC33" s="116">
        <v>31490</v>
      </c>
      <c r="BD33" s="116">
        <v>31520</v>
      </c>
      <c r="BE33" s="116">
        <v>31560</v>
      </c>
      <c r="BF33" s="116">
        <v>31630</v>
      </c>
    </row>
    <row r="34" spans="1:58" ht="12.75">
      <c r="A34" s="118" t="s">
        <v>334</v>
      </c>
      <c r="B34" s="11"/>
      <c r="C34" s="116">
        <v>26850</v>
      </c>
      <c r="D34" s="116">
        <v>27650</v>
      </c>
      <c r="E34" s="116">
        <v>28300</v>
      </c>
      <c r="F34" s="116">
        <v>28160</v>
      </c>
      <c r="G34" s="116">
        <v>27980</v>
      </c>
      <c r="H34" s="116">
        <v>28160</v>
      </c>
      <c r="I34" s="116">
        <v>28690</v>
      </c>
      <c r="J34" s="116">
        <v>29790</v>
      </c>
      <c r="K34" s="116">
        <v>30720</v>
      </c>
      <c r="L34" s="116">
        <v>31730</v>
      </c>
      <c r="M34" s="116">
        <v>32890</v>
      </c>
      <c r="N34" s="116">
        <v>32270</v>
      </c>
      <c r="O34" s="116">
        <v>31990</v>
      </c>
      <c r="P34" s="116">
        <v>31360</v>
      </c>
      <c r="Q34" s="116">
        <v>31390</v>
      </c>
      <c r="R34" s="116">
        <v>31040</v>
      </c>
      <c r="S34" s="116">
        <v>29870</v>
      </c>
      <c r="T34" s="116">
        <v>30120</v>
      </c>
      <c r="U34" s="116">
        <v>29760</v>
      </c>
      <c r="V34" s="116">
        <v>30640</v>
      </c>
      <c r="W34" s="116">
        <v>30150</v>
      </c>
      <c r="X34" s="116">
        <v>28960</v>
      </c>
      <c r="Y34" s="116">
        <v>29500</v>
      </c>
      <c r="Z34" s="116">
        <v>30320</v>
      </c>
      <c r="AA34" s="116">
        <v>30290</v>
      </c>
      <c r="AB34" s="116">
        <v>31130</v>
      </c>
      <c r="AC34" s="116">
        <v>32610</v>
      </c>
      <c r="AD34" s="116">
        <v>32750</v>
      </c>
      <c r="AE34" s="116">
        <v>32610</v>
      </c>
      <c r="AF34" s="116">
        <v>32310</v>
      </c>
      <c r="AG34" s="116">
        <v>32060</v>
      </c>
      <c r="AH34" s="116">
        <v>31850</v>
      </c>
      <c r="AI34" s="116">
        <v>31690</v>
      </c>
      <c r="AJ34" s="116">
        <v>31560</v>
      </c>
      <c r="AK34" s="116">
        <v>31470</v>
      </c>
      <c r="AL34" s="116">
        <v>31410</v>
      </c>
      <c r="AM34" s="116">
        <v>31370</v>
      </c>
      <c r="AN34" s="116">
        <v>31350</v>
      </c>
      <c r="AO34" s="116">
        <v>31350</v>
      </c>
      <c r="AP34" s="116">
        <v>31340</v>
      </c>
      <c r="AQ34" s="116">
        <v>31340</v>
      </c>
      <c r="AR34" s="116">
        <v>31350</v>
      </c>
      <c r="AS34" s="116">
        <v>31360</v>
      </c>
      <c r="AT34" s="116">
        <v>31370</v>
      </c>
      <c r="AU34" s="116">
        <v>31380</v>
      </c>
      <c r="AV34" s="116">
        <v>31390</v>
      </c>
      <c r="AW34" s="116">
        <v>31390</v>
      </c>
      <c r="AX34" s="116">
        <v>31360</v>
      </c>
      <c r="AY34" s="116">
        <v>31320</v>
      </c>
      <c r="AZ34" s="116">
        <v>31280</v>
      </c>
      <c r="BA34" s="116">
        <v>31230</v>
      </c>
      <c r="BB34" s="116">
        <v>31200</v>
      </c>
      <c r="BC34" s="116">
        <v>31180</v>
      </c>
      <c r="BD34" s="116">
        <v>31180</v>
      </c>
      <c r="BE34" s="116">
        <v>31210</v>
      </c>
      <c r="BF34" s="116">
        <v>31250</v>
      </c>
    </row>
    <row r="35" spans="1:58" ht="12.75">
      <c r="A35" s="118" t="s">
        <v>335</v>
      </c>
      <c r="B35" s="11"/>
      <c r="C35" s="116">
        <v>25810</v>
      </c>
      <c r="D35" s="116">
        <v>26640</v>
      </c>
      <c r="E35" s="116">
        <v>27370</v>
      </c>
      <c r="F35" s="116">
        <v>28070</v>
      </c>
      <c r="G35" s="116">
        <v>27950</v>
      </c>
      <c r="H35" s="116">
        <v>27780</v>
      </c>
      <c r="I35" s="116">
        <v>27950</v>
      </c>
      <c r="J35" s="116">
        <v>28490</v>
      </c>
      <c r="K35" s="116">
        <v>29580</v>
      </c>
      <c r="L35" s="116">
        <v>30510</v>
      </c>
      <c r="M35" s="116">
        <v>31530</v>
      </c>
      <c r="N35" s="116">
        <v>32680</v>
      </c>
      <c r="O35" s="116">
        <v>32060</v>
      </c>
      <c r="P35" s="116">
        <v>31790</v>
      </c>
      <c r="Q35" s="116">
        <v>31150</v>
      </c>
      <c r="R35" s="116">
        <v>31190</v>
      </c>
      <c r="S35" s="116">
        <v>30830</v>
      </c>
      <c r="T35" s="116">
        <v>29670</v>
      </c>
      <c r="U35" s="116">
        <v>29920</v>
      </c>
      <c r="V35" s="116">
        <v>29560</v>
      </c>
      <c r="W35" s="116">
        <v>30440</v>
      </c>
      <c r="X35" s="116">
        <v>29950</v>
      </c>
      <c r="Y35" s="116">
        <v>28760</v>
      </c>
      <c r="Z35" s="116">
        <v>29300</v>
      </c>
      <c r="AA35" s="116">
        <v>30120</v>
      </c>
      <c r="AB35" s="116">
        <v>30090</v>
      </c>
      <c r="AC35" s="116">
        <v>30930</v>
      </c>
      <c r="AD35" s="116">
        <v>32410</v>
      </c>
      <c r="AE35" s="116">
        <v>32550</v>
      </c>
      <c r="AF35" s="116">
        <v>32410</v>
      </c>
      <c r="AG35" s="116">
        <v>32110</v>
      </c>
      <c r="AH35" s="116">
        <v>31860</v>
      </c>
      <c r="AI35" s="116">
        <v>31650</v>
      </c>
      <c r="AJ35" s="116">
        <v>31490</v>
      </c>
      <c r="AK35" s="116">
        <v>31360</v>
      </c>
      <c r="AL35" s="116">
        <v>31270</v>
      </c>
      <c r="AM35" s="116">
        <v>31210</v>
      </c>
      <c r="AN35" s="116">
        <v>31180</v>
      </c>
      <c r="AO35" s="116">
        <v>31160</v>
      </c>
      <c r="AP35" s="116">
        <v>31150</v>
      </c>
      <c r="AQ35" s="116">
        <v>31140</v>
      </c>
      <c r="AR35" s="116">
        <v>31150</v>
      </c>
      <c r="AS35" s="116">
        <v>31150</v>
      </c>
      <c r="AT35" s="116">
        <v>31160</v>
      </c>
      <c r="AU35" s="116">
        <v>31170</v>
      </c>
      <c r="AV35" s="116">
        <v>31180</v>
      </c>
      <c r="AW35" s="116">
        <v>31190</v>
      </c>
      <c r="AX35" s="116">
        <v>31190</v>
      </c>
      <c r="AY35" s="116">
        <v>31170</v>
      </c>
      <c r="AZ35" s="116">
        <v>31130</v>
      </c>
      <c r="BA35" s="116">
        <v>31080</v>
      </c>
      <c r="BB35" s="116">
        <v>31030</v>
      </c>
      <c r="BC35" s="116">
        <v>31000</v>
      </c>
      <c r="BD35" s="116">
        <v>30980</v>
      </c>
      <c r="BE35" s="116">
        <v>30990</v>
      </c>
      <c r="BF35" s="116">
        <v>31010</v>
      </c>
    </row>
    <row r="36" spans="1:58" ht="12.75">
      <c r="A36" s="118" t="s">
        <v>336</v>
      </c>
      <c r="B36" s="11"/>
      <c r="C36" s="116">
        <v>24950</v>
      </c>
      <c r="D36" s="116">
        <v>25780</v>
      </c>
      <c r="E36" s="116">
        <v>26550</v>
      </c>
      <c r="F36" s="116">
        <v>27320</v>
      </c>
      <c r="G36" s="116">
        <v>28040</v>
      </c>
      <c r="H36" s="116">
        <v>27920</v>
      </c>
      <c r="I36" s="116">
        <v>27740</v>
      </c>
      <c r="J36" s="116">
        <v>27920</v>
      </c>
      <c r="K36" s="116">
        <v>28450</v>
      </c>
      <c r="L36" s="116">
        <v>29550</v>
      </c>
      <c r="M36" s="116">
        <v>30480</v>
      </c>
      <c r="N36" s="116">
        <v>31490</v>
      </c>
      <c r="O36" s="116">
        <v>32650</v>
      </c>
      <c r="P36" s="116">
        <v>32030</v>
      </c>
      <c r="Q36" s="116">
        <v>31750</v>
      </c>
      <c r="R36" s="116">
        <v>31120</v>
      </c>
      <c r="S36" s="116">
        <v>31160</v>
      </c>
      <c r="T36" s="116">
        <v>30800</v>
      </c>
      <c r="U36" s="116">
        <v>29640</v>
      </c>
      <c r="V36" s="116">
        <v>29890</v>
      </c>
      <c r="W36" s="116">
        <v>29530</v>
      </c>
      <c r="X36" s="116">
        <v>30410</v>
      </c>
      <c r="Y36" s="116">
        <v>29920</v>
      </c>
      <c r="Z36" s="116">
        <v>28740</v>
      </c>
      <c r="AA36" s="116">
        <v>29270</v>
      </c>
      <c r="AB36" s="116">
        <v>30090</v>
      </c>
      <c r="AC36" s="116">
        <v>30060</v>
      </c>
      <c r="AD36" s="116">
        <v>30900</v>
      </c>
      <c r="AE36" s="116">
        <v>32380</v>
      </c>
      <c r="AF36" s="116">
        <v>32520</v>
      </c>
      <c r="AG36" s="116">
        <v>32380</v>
      </c>
      <c r="AH36" s="116">
        <v>32080</v>
      </c>
      <c r="AI36" s="116">
        <v>31830</v>
      </c>
      <c r="AJ36" s="116">
        <v>31630</v>
      </c>
      <c r="AK36" s="116">
        <v>31460</v>
      </c>
      <c r="AL36" s="116">
        <v>31340</v>
      </c>
      <c r="AM36" s="116">
        <v>31250</v>
      </c>
      <c r="AN36" s="116">
        <v>31180</v>
      </c>
      <c r="AO36" s="116">
        <v>31150</v>
      </c>
      <c r="AP36" s="116">
        <v>31130</v>
      </c>
      <c r="AQ36" s="116">
        <v>31120</v>
      </c>
      <c r="AR36" s="116">
        <v>31120</v>
      </c>
      <c r="AS36" s="116">
        <v>31120</v>
      </c>
      <c r="AT36" s="116">
        <v>31120</v>
      </c>
      <c r="AU36" s="116">
        <v>31130</v>
      </c>
      <c r="AV36" s="116">
        <v>31150</v>
      </c>
      <c r="AW36" s="116">
        <v>31160</v>
      </c>
      <c r="AX36" s="116">
        <v>31160</v>
      </c>
      <c r="AY36" s="116">
        <v>31160</v>
      </c>
      <c r="AZ36" s="116">
        <v>31140</v>
      </c>
      <c r="BA36" s="116">
        <v>31100</v>
      </c>
      <c r="BB36" s="116">
        <v>31050</v>
      </c>
      <c r="BC36" s="116">
        <v>31010</v>
      </c>
      <c r="BD36" s="116">
        <v>30980</v>
      </c>
      <c r="BE36" s="116">
        <v>30960</v>
      </c>
      <c r="BF36" s="116">
        <v>30960</v>
      </c>
    </row>
    <row r="37" spans="1:58" ht="12.75">
      <c r="A37" s="118" t="s">
        <v>337</v>
      </c>
      <c r="B37" s="11"/>
      <c r="C37" s="116">
        <v>24310</v>
      </c>
      <c r="D37" s="116">
        <v>25120</v>
      </c>
      <c r="E37" s="116">
        <v>25910</v>
      </c>
      <c r="F37" s="116">
        <v>26700</v>
      </c>
      <c r="G37" s="116">
        <v>27490</v>
      </c>
      <c r="H37" s="116">
        <v>28210</v>
      </c>
      <c r="I37" s="116">
        <v>28090</v>
      </c>
      <c r="J37" s="116">
        <v>27920</v>
      </c>
      <c r="K37" s="116">
        <v>28100</v>
      </c>
      <c r="L37" s="116">
        <v>28630</v>
      </c>
      <c r="M37" s="116">
        <v>29720</v>
      </c>
      <c r="N37" s="116">
        <v>30650</v>
      </c>
      <c r="O37" s="116">
        <v>31670</v>
      </c>
      <c r="P37" s="116">
        <v>32820</v>
      </c>
      <c r="Q37" s="116">
        <v>32200</v>
      </c>
      <c r="R37" s="116">
        <v>31930</v>
      </c>
      <c r="S37" s="116">
        <v>31300</v>
      </c>
      <c r="T37" s="116">
        <v>31330</v>
      </c>
      <c r="U37" s="116">
        <v>30980</v>
      </c>
      <c r="V37" s="116">
        <v>29820</v>
      </c>
      <c r="W37" s="116">
        <v>30060</v>
      </c>
      <c r="X37" s="116">
        <v>29710</v>
      </c>
      <c r="Y37" s="116">
        <v>30580</v>
      </c>
      <c r="Z37" s="116">
        <v>30100</v>
      </c>
      <c r="AA37" s="116">
        <v>28910</v>
      </c>
      <c r="AB37" s="116">
        <v>29450</v>
      </c>
      <c r="AC37" s="116">
        <v>30270</v>
      </c>
      <c r="AD37" s="116">
        <v>30240</v>
      </c>
      <c r="AE37" s="116">
        <v>31080</v>
      </c>
      <c r="AF37" s="116">
        <v>32560</v>
      </c>
      <c r="AG37" s="116">
        <v>32700</v>
      </c>
      <c r="AH37" s="116">
        <v>32560</v>
      </c>
      <c r="AI37" s="116">
        <v>32260</v>
      </c>
      <c r="AJ37" s="116">
        <v>32010</v>
      </c>
      <c r="AK37" s="116">
        <v>31810</v>
      </c>
      <c r="AL37" s="116">
        <v>31640</v>
      </c>
      <c r="AM37" s="116">
        <v>31520</v>
      </c>
      <c r="AN37" s="116">
        <v>31430</v>
      </c>
      <c r="AO37" s="116">
        <v>31370</v>
      </c>
      <c r="AP37" s="116">
        <v>31330</v>
      </c>
      <c r="AQ37" s="116">
        <v>31310</v>
      </c>
      <c r="AR37" s="116">
        <v>31300</v>
      </c>
      <c r="AS37" s="116">
        <v>31300</v>
      </c>
      <c r="AT37" s="116">
        <v>31300</v>
      </c>
      <c r="AU37" s="116">
        <v>31300</v>
      </c>
      <c r="AV37" s="116">
        <v>31310</v>
      </c>
      <c r="AW37" s="116">
        <v>31330</v>
      </c>
      <c r="AX37" s="116">
        <v>31340</v>
      </c>
      <c r="AY37" s="116">
        <v>31350</v>
      </c>
      <c r="AZ37" s="116">
        <v>31340</v>
      </c>
      <c r="BA37" s="116">
        <v>31320</v>
      </c>
      <c r="BB37" s="116">
        <v>31280</v>
      </c>
      <c r="BC37" s="116">
        <v>31240</v>
      </c>
      <c r="BD37" s="116">
        <v>31190</v>
      </c>
      <c r="BE37" s="116">
        <v>31160</v>
      </c>
      <c r="BF37" s="116">
        <v>31140</v>
      </c>
    </row>
    <row r="38" spans="1:58" ht="12.75">
      <c r="A38" s="118" t="s">
        <v>338</v>
      </c>
      <c r="B38" s="11"/>
      <c r="C38" s="116">
        <v>24860</v>
      </c>
      <c r="D38" s="116">
        <v>24590</v>
      </c>
      <c r="E38" s="116">
        <v>25370</v>
      </c>
      <c r="F38" s="116">
        <v>26180</v>
      </c>
      <c r="G38" s="116">
        <v>26990</v>
      </c>
      <c r="H38" s="116">
        <v>27780</v>
      </c>
      <c r="I38" s="116">
        <v>28500</v>
      </c>
      <c r="J38" s="116">
        <v>28380</v>
      </c>
      <c r="K38" s="116">
        <v>28210</v>
      </c>
      <c r="L38" s="116">
        <v>28380</v>
      </c>
      <c r="M38" s="116">
        <v>28920</v>
      </c>
      <c r="N38" s="116">
        <v>30010</v>
      </c>
      <c r="O38" s="116">
        <v>30940</v>
      </c>
      <c r="P38" s="116">
        <v>31950</v>
      </c>
      <c r="Q38" s="116">
        <v>33110</v>
      </c>
      <c r="R38" s="116">
        <v>32490</v>
      </c>
      <c r="S38" s="116">
        <v>32220</v>
      </c>
      <c r="T38" s="116">
        <v>31590</v>
      </c>
      <c r="U38" s="116">
        <v>31620</v>
      </c>
      <c r="V38" s="116">
        <v>31270</v>
      </c>
      <c r="W38" s="116">
        <v>30110</v>
      </c>
      <c r="X38" s="116">
        <v>30350</v>
      </c>
      <c r="Y38" s="116">
        <v>30000</v>
      </c>
      <c r="Z38" s="116">
        <v>30870</v>
      </c>
      <c r="AA38" s="116">
        <v>30390</v>
      </c>
      <c r="AB38" s="116">
        <v>29210</v>
      </c>
      <c r="AC38" s="116">
        <v>29740</v>
      </c>
      <c r="AD38" s="116">
        <v>30560</v>
      </c>
      <c r="AE38" s="116">
        <v>30530</v>
      </c>
      <c r="AF38" s="116">
        <v>31370</v>
      </c>
      <c r="AG38" s="116">
        <v>32850</v>
      </c>
      <c r="AH38" s="116">
        <v>32990</v>
      </c>
      <c r="AI38" s="116">
        <v>32850</v>
      </c>
      <c r="AJ38" s="116">
        <v>32550</v>
      </c>
      <c r="AK38" s="116">
        <v>32310</v>
      </c>
      <c r="AL38" s="116">
        <v>32100</v>
      </c>
      <c r="AM38" s="116">
        <v>31930</v>
      </c>
      <c r="AN38" s="116">
        <v>31810</v>
      </c>
      <c r="AO38" s="116">
        <v>31720</v>
      </c>
      <c r="AP38" s="116">
        <v>31660</v>
      </c>
      <c r="AQ38" s="116">
        <v>31620</v>
      </c>
      <c r="AR38" s="116">
        <v>31600</v>
      </c>
      <c r="AS38" s="116">
        <v>31600</v>
      </c>
      <c r="AT38" s="116">
        <v>31590</v>
      </c>
      <c r="AU38" s="116">
        <v>31590</v>
      </c>
      <c r="AV38" s="116">
        <v>31600</v>
      </c>
      <c r="AW38" s="116">
        <v>31610</v>
      </c>
      <c r="AX38" s="116">
        <v>31620</v>
      </c>
      <c r="AY38" s="116">
        <v>31630</v>
      </c>
      <c r="AZ38" s="116">
        <v>31640</v>
      </c>
      <c r="BA38" s="116">
        <v>31640</v>
      </c>
      <c r="BB38" s="116">
        <v>31620</v>
      </c>
      <c r="BC38" s="116">
        <v>31580</v>
      </c>
      <c r="BD38" s="116">
        <v>31530</v>
      </c>
      <c r="BE38" s="116">
        <v>31480</v>
      </c>
      <c r="BF38" s="116">
        <v>31450</v>
      </c>
    </row>
    <row r="39" spans="1:58" ht="12.75">
      <c r="A39" s="118" t="s">
        <v>339</v>
      </c>
      <c r="B39" s="11"/>
      <c r="C39" s="116">
        <v>25180</v>
      </c>
      <c r="D39" s="116">
        <v>25150</v>
      </c>
      <c r="E39" s="116">
        <v>24850</v>
      </c>
      <c r="F39" s="116">
        <v>25660</v>
      </c>
      <c r="G39" s="116">
        <v>26480</v>
      </c>
      <c r="H39" s="116">
        <v>27280</v>
      </c>
      <c r="I39" s="116">
        <v>28070</v>
      </c>
      <c r="J39" s="116">
        <v>28790</v>
      </c>
      <c r="K39" s="116">
        <v>28670</v>
      </c>
      <c r="L39" s="116">
        <v>28500</v>
      </c>
      <c r="M39" s="116">
        <v>28680</v>
      </c>
      <c r="N39" s="116">
        <v>29210</v>
      </c>
      <c r="O39" s="116">
        <v>30310</v>
      </c>
      <c r="P39" s="116">
        <v>31230</v>
      </c>
      <c r="Q39" s="116">
        <v>32240</v>
      </c>
      <c r="R39" s="116">
        <v>33400</v>
      </c>
      <c r="S39" s="116">
        <v>32790</v>
      </c>
      <c r="T39" s="116">
        <v>32510</v>
      </c>
      <c r="U39" s="116">
        <v>31880</v>
      </c>
      <c r="V39" s="116">
        <v>31920</v>
      </c>
      <c r="W39" s="116">
        <v>31560</v>
      </c>
      <c r="X39" s="116">
        <v>30410</v>
      </c>
      <c r="Y39" s="116">
        <v>30650</v>
      </c>
      <c r="Z39" s="116">
        <v>30290</v>
      </c>
      <c r="AA39" s="116">
        <v>31170</v>
      </c>
      <c r="AB39" s="116">
        <v>30690</v>
      </c>
      <c r="AC39" s="116">
        <v>29510</v>
      </c>
      <c r="AD39" s="116">
        <v>30040</v>
      </c>
      <c r="AE39" s="116">
        <v>30860</v>
      </c>
      <c r="AF39" s="116">
        <v>30830</v>
      </c>
      <c r="AG39" s="116">
        <v>31670</v>
      </c>
      <c r="AH39" s="116">
        <v>33140</v>
      </c>
      <c r="AI39" s="116">
        <v>33290</v>
      </c>
      <c r="AJ39" s="116">
        <v>33150</v>
      </c>
      <c r="AK39" s="116">
        <v>32850</v>
      </c>
      <c r="AL39" s="116">
        <v>32600</v>
      </c>
      <c r="AM39" s="116">
        <v>32400</v>
      </c>
      <c r="AN39" s="116">
        <v>32230</v>
      </c>
      <c r="AO39" s="116">
        <v>32110</v>
      </c>
      <c r="AP39" s="116">
        <v>32020</v>
      </c>
      <c r="AQ39" s="116">
        <v>31960</v>
      </c>
      <c r="AR39" s="116">
        <v>31920</v>
      </c>
      <c r="AS39" s="116">
        <v>31910</v>
      </c>
      <c r="AT39" s="116">
        <v>31900</v>
      </c>
      <c r="AU39" s="116">
        <v>31890</v>
      </c>
      <c r="AV39" s="116">
        <v>31890</v>
      </c>
      <c r="AW39" s="116">
        <v>31900</v>
      </c>
      <c r="AX39" s="116">
        <v>31910</v>
      </c>
      <c r="AY39" s="116">
        <v>31920</v>
      </c>
      <c r="AZ39" s="116">
        <v>31930</v>
      </c>
      <c r="BA39" s="116">
        <v>31940</v>
      </c>
      <c r="BB39" s="116">
        <v>31940</v>
      </c>
      <c r="BC39" s="116">
        <v>31920</v>
      </c>
      <c r="BD39" s="116">
        <v>31880</v>
      </c>
      <c r="BE39" s="116">
        <v>31830</v>
      </c>
      <c r="BF39" s="116">
        <v>31790</v>
      </c>
    </row>
    <row r="40" spans="1:58" ht="12.75">
      <c r="A40" s="118" t="s">
        <v>340</v>
      </c>
      <c r="B40" s="11"/>
      <c r="C40" s="116">
        <v>26120</v>
      </c>
      <c r="D40" s="116">
        <v>25430</v>
      </c>
      <c r="E40" s="116">
        <v>25370</v>
      </c>
      <c r="F40" s="116">
        <v>25090</v>
      </c>
      <c r="G40" s="116">
        <v>25910</v>
      </c>
      <c r="H40" s="116">
        <v>26720</v>
      </c>
      <c r="I40" s="116">
        <v>27530</v>
      </c>
      <c r="J40" s="116">
        <v>28320</v>
      </c>
      <c r="K40" s="116">
        <v>29040</v>
      </c>
      <c r="L40" s="116">
        <v>28920</v>
      </c>
      <c r="M40" s="116">
        <v>28750</v>
      </c>
      <c r="N40" s="116">
        <v>28930</v>
      </c>
      <c r="O40" s="116">
        <v>29460</v>
      </c>
      <c r="P40" s="116">
        <v>30550</v>
      </c>
      <c r="Q40" s="116">
        <v>31480</v>
      </c>
      <c r="R40" s="116">
        <v>32490</v>
      </c>
      <c r="S40" s="116">
        <v>33650</v>
      </c>
      <c r="T40" s="116">
        <v>33030</v>
      </c>
      <c r="U40" s="116">
        <v>32760</v>
      </c>
      <c r="V40" s="116">
        <v>32130</v>
      </c>
      <c r="W40" s="116">
        <v>32170</v>
      </c>
      <c r="X40" s="116">
        <v>31810</v>
      </c>
      <c r="Y40" s="116">
        <v>30660</v>
      </c>
      <c r="Z40" s="116">
        <v>30900</v>
      </c>
      <c r="AA40" s="116">
        <v>30550</v>
      </c>
      <c r="AB40" s="116">
        <v>31420</v>
      </c>
      <c r="AC40" s="116">
        <v>30940</v>
      </c>
      <c r="AD40" s="116">
        <v>29760</v>
      </c>
      <c r="AE40" s="116">
        <v>30290</v>
      </c>
      <c r="AF40" s="116">
        <v>31110</v>
      </c>
      <c r="AG40" s="116">
        <v>31080</v>
      </c>
      <c r="AH40" s="116">
        <v>31920</v>
      </c>
      <c r="AI40" s="116">
        <v>33400</v>
      </c>
      <c r="AJ40" s="116">
        <v>33540</v>
      </c>
      <c r="AK40" s="116">
        <v>33400</v>
      </c>
      <c r="AL40" s="116">
        <v>33110</v>
      </c>
      <c r="AM40" s="116">
        <v>32860</v>
      </c>
      <c r="AN40" s="116">
        <v>32650</v>
      </c>
      <c r="AO40" s="116">
        <v>32490</v>
      </c>
      <c r="AP40" s="116">
        <v>32360</v>
      </c>
      <c r="AQ40" s="116">
        <v>32270</v>
      </c>
      <c r="AR40" s="116">
        <v>32210</v>
      </c>
      <c r="AS40" s="116">
        <v>32180</v>
      </c>
      <c r="AT40" s="116">
        <v>32160</v>
      </c>
      <c r="AU40" s="116">
        <v>32150</v>
      </c>
      <c r="AV40" s="116">
        <v>32150</v>
      </c>
      <c r="AW40" s="116">
        <v>32150</v>
      </c>
      <c r="AX40" s="116">
        <v>32150</v>
      </c>
      <c r="AY40" s="116">
        <v>32160</v>
      </c>
      <c r="AZ40" s="116">
        <v>32170</v>
      </c>
      <c r="BA40" s="116">
        <v>32190</v>
      </c>
      <c r="BB40" s="116">
        <v>32190</v>
      </c>
      <c r="BC40" s="116">
        <v>32190</v>
      </c>
      <c r="BD40" s="116">
        <v>32170</v>
      </c>
      <c r="BE40" s="116">
        <v>32130</v>
      </c>
      <c r="BF40" s="116">
        <v>32090</v>
      </c>
    </row>
    <row r="41" spans="1:58" ht="12.75">
      <c r="A41" s="118" t="s">
        <v>341</v>
      </c>
      <c r="B41" s="11"/>
      <c r="C41" s="116">
        <v>27080</v>
      </c>
      <c r="D41" s="116">
        <v>26320</v>
      </c>
      <c r="E41" s="116">
        <v>25600</v>
      </c>
      <c r="F41" s="116">
        <v>25560</v>
      </c>
      <c r="G41" s="116">
        <v>25290</v>
      </c>
      <c r="H41" s="116">
        <v>26110</v>
      </c>
      <c r="I41" s="116">
        <v>26930</v>
      </c>
      <c r="J41" s="116">
        <v>27730</v>
      </c>
      <c r="K41" s="116">
        <v>28520</v>
      </c>
      <c r="L41" s="116">
        <v>29240</v>
      </c>
      <c r="M41" s="116">
        <v>29120</v>
      </c>
      <c r="N41" s="116">
        <v>28950</v>
      </c>
      <c r="O41" s="116">
        <v>29130</v>
      </c>
      <c r="P41" s="116">
        <v>29660</v>
      </c>
      <c r="Q41" s="116">
        <v>30760</v>
      </c>
      <c r="R41" s="116">
        <v>31680</v>
      </c>
      <c r="S41" s="116">
        <v>32690</v>
      </c>
      <c r="T41" s="116">
        <v>33850</v>
      </c>
      <c r="U41" s="116">
        <v>33240</v>
      </c>
      <c r="V41" s="116">
        <v>32960</v>
      </c>
      <c r="W41" s="116">
        <v>32330</v>
      </c>
      <c r="X41" s="116">
        <v>32370</v>
      </c>
      <c r="Y41" s="116">
        <v>32020</v>
      </c>
      <c r="Z41" s="116">
        <v>30860</v>
      </c>
      <c r="AA41" s="116">
        <v>31110</v>
      </c>
      <c r="AB41" s="116">
        <v>30750</v>
      </c>
      <c r="AC41" s="116">
        <v>31630</v>
      </c>
      <c r="AD41" s="116">
        <v>31140</v>
      </c>
      <c r="AE41" s="116">
        <v>29970</v>
      </c>
      <c r="AF41" s="116">
        <v>30500</v>
      </c>
      <c r="AG41" s="116">
        <v>31320</v>
      </c>
      <c r="AH41" s="116">
        <v>31290</v>
      </c>
      <c r="AI41" s="116">
        <v>32130</v>
      </c>
      <c r="AJ41" s="116">
        <v>33600</v>
      </c>
      <c r="AK41" s="116">
        <v>33750</v>
      </c>
      <c r="AL41" s="116">
        <v>33610</v>
      </c>
      <c r="AM41" s="116">
        <v>33310</v>
      </c>
      <c r="AN41" s="116">
        <v>33060</v>
      </c>
      <c r="AO41" s="116">
        <v>32860</v>
      </c>
      <c r="AP41" s="116">
        <v>32690</v>
      </c>
      <c r="AQ41" s="116">
        <v>32570</v>
      </c>
      <c r="AR41" s="116">
        <v>32480</v>
      </c>
      <c r="AS41" s="116">
        <v>32420</v>
      </c>
      <c r="AT41" s="116">
        <v>32390</v>
      </c>
      <c r="AU41" s="116">
        <v>32370</v>
      </c>
      <c r="AV41" s="116">
        <v>32360</v>
      </c>
      <c r="AW41" s="116">
        <v>32360</v>
      </c>
      <c r="AX41" s="116">
        <v>32360</v>
      </c>
      <c r="AY41" s="116">
        <v>32360</v>
      </c>
      <c r="AZ41" s="116">
        <v>32370</v>
      </c>
      <c r="BA41" s="116">
        <v>32380</v>
      </c>
      <c r="BB41" s="116">
        <v>32390</v>
      </c>
      <c r="BC41" s="116">
        <v>32400</v>
      </c>
      <c r="BD41" s="116">
        <v>32400</v>
      </c>
      <c r="BE41" s="116">
        <v>32380</v>
      </c>
      <c r="BF41" s="116">
        <v>32340</v>
      </c>
    </row>
    <row r="42" spans="1:58" ht="12.75">
      <c r="A42" s="118" t="s">
        <v>342</v>
      </c>
      <c r="B42" s="11"/>
      <c r="C42" s="116">
        <v>28270</v>
      </c>
      <c r="D42" s="116">
        <v>27270</v>
      </c>
      <c r="E42" s="116">
        <v>26480</v>
      </c>
      <c r="F42" s="116">
        <v>25780</v>
      </c>
      <c r="G42" s="116">
        <v>25750</v>
      </c>
      <c r="H42" s="116">
        <v>25480</v>
      </c>
      <c r="I42" s="116">
        <v>26300</v>
      </c>
      <c r="J42" s="116">
        <v>27110</v>
      </c>
      <c r="K42" s="116">
        <v>27920</v>
      </c>
      <c r="L42" s="116">
        <v>28710</v>
      </c>
      <c r="M42" s="116">
        <v>29430</v>
      </c>
      <c r="N42" s="116">
        <v>29310</v>
      </c>
      <c r="O42" s="116">
        <v>29140</v>
      </c>
      <c r="P42" s="116">
        <v>29320</v>
      </c>
      <c r="Q42" s="116">
        <v>29850</v>
      </c>
      <c r="R42" s="116">
        <v>30940</v>
      </c>
      <c r="S42" s="116">
        <v>31870</v>
      </c>
      <c r="T42" s="116">
        <v>32880</v>
      </c>
      <c r="U42" s="116">
        <v>34040</v>
      </c>
      <c r="V42" s="116">
        <v>33420</v>
      </c>
      <c r="W42" s="116">
        <v>33150</v>
      </c>
      <c r="X42" s="116">
        <v>32520</v>
      </c>
      <c r="Y42" s="116">
        <v>32560</v>
      </c>
      <c r="Z42" s="116">
        <v>32210</v>
      </c>
      <c r="AA42" s="116">
        <v>31050</v>
      </c>
      <c r="AB42" s="116">
        <v>31300</v>
      </c>
      <c r="AC42" s="116">
        <v>30940</v>
      </c>
      <c r="AD42" s="116">
        <v>31820</v>
      </c>
      <c r="AE42" s="116">
        <v>31340</v>
      </c>
      <c r="AF42" s="116">
        <v>30160</v>
      </c>
      <c r="AG42" s="116">
        <v>30690</v>
      </c>
      <c r="AH42" s="116">
        <v>31510</v>
      </c>
      <c r="AI42" s="116">
        <v>31480</v>
      </c>
      <c r="AJ42" s="116">
        <v>32320</v>
      </c>
      <c r="AK42" s="116">
        <v>33790</v>
      </c>
      <c r="AL42" s="116">
        <v>33940</v>
      </c>
      <c r="AM42" s="116">
        <v>33800</v>
      </c>
      <c r="AN42" s="116">
        <v>33500</v>
      </c>
      <c r="AO42" s="116">
        <v>33260</v>
      </c>
      <c r="AP42" s="116">
        <v>33050</v>
      </c>
      <c r="AQ42" s="116">
        <v>32890</v>
      </c>
      <c r="AR42" s="116">
        <v>32760</v>
      </c>
      <c r="AS42" s="116">
        <v>32670</v>
      </c>
      <c r="AT42" s="116">
        <v>32610</v>
      </c>
      <c r="AU42" s="116">
        <v>32580</v>
      </c>
      <c r="AV42" s="116">
        <v>32560</v>
      </c>
      <c r="AW42" s="116">
        <v>32550</v>
      </c>
      <c r="AX42" s="116">
        <v>32550</v>
      </c>
      <c r="AY42" s="116">
        <v>32550</v>
      </c>
      <c r="AZ42" s="116">
        <v>32560</v>
      </c>
      <c r="BA42" s="116">
        <v>32570</v>
      </c>
      <c r="BB42" s="116">
        <v>32580</v>
      </c>
      <c r="BC42" s="116">
        <v>32590</v>
      </c>
      <c r="BD42" s="116">
        <v>32600</v>
      </c>
      <c r="BE42" s="116">
        <v>32600</v>
      </c>
      <c r="BF42" s="116">
        <v>32570</v>
      </c>
    </row>
    <row r="43" spans="1:58" ht="12.75">
      <c r="A43" s="118" t="s">
        <v>343</v>
      </c>
      <c r="B43" s="11"/>
      <c r="C43" s="116">
        <v>29670</v>
      </c>
      <c r="D43" s="116">
        <v>28440</v>
      </c>
      <c r="E43" s="116">
        <v>27410</v>
      </c>
      <c r="F43" s="116">
        <v>26650</v>
      </c>
      <c r="G43" s="116">
        <v>25960</v>
      </c>
      <c r="H43" s="116">
        <v>25930</v>
      </c>
      <c r="I43" s="116">
        <v>25660</v>
      </c>
      <c r="J43" s="116">
        <v>26480</v>
      </c>
      <c r="K43" s="116">
        <v>27290</v>
      </c>
      <c r="L43" s="116">
        <v>28100</v>
      </c>
      <c r="M43" s="116">
        <v>28890</v>
      </c>
      <c r="N43" s="116">
        <v>29610</v>
      </c>
      <c r="O43" s="116">
        <v>29490</v>
      </c>
      <c r="P43" s="116">
        <v>29320</v>
      </c>
      <c r="Q43" s="116">
        <v>29500</v>
      </c>
      <c r="R43" s="116">
        <v>30030</v>
      </c>
      <c r="S43" s="116">
        <v>31120</v>
      </c>
      <c r="T43" s="116">
        <v>32050</v>
      </c>
      <c r="U43" s="116">
        <v>33060</v>
      </c>
      <c r="V43" s="116">
        <v>34220</v>
      </c>
      <c r="W43" s="116">
        <v>33600</v>
      </c>
      <c r="X43" s="116">
        <v>33330</v>
      </c>
      <c r="Y43" s="116">
        <v>32700</v>
      </c>
      <c r="Z43" s="116">
        <v>32740</v>
      </c>
      <c r="AA43" s="116">
        <v>32390</v>
      </c>
      <c r="AB43" s="116">
        <v>31240</v>
      </c>
      <c r="AC43" s="116">
        <v>31480</v>
      </c>
      <c r="AD43" s="116">
        <v>31130</v>
      </c>
      <c r="AE43" s="116">
        <v>32000</v>
      </c>
      <c r="AF43" s="116">
        <v>31520</v>
      </c>
      <c r="AG43" s="116">
        <v>30340</v>
      </c>
      <c r="AH43" s="116">
        <v>30880</v>
      </c>
      <c r="AI43" s="116">
        <v>31690</v>
      </c>
      <c r="AJ43" s="116">
        <v>31670</v>
      </c>
      <c r="AK43" s="116">
        <v>32500</v>
      </c>
      <c r="AL43" s="116">
        <v>33980</v>
      </c>
      <c r="AM43" s="116">
        <v>34120</v>
      </c>
      <c r="AN43" s="116">
        <v>33980</v>
      </c>
      <c r="AO43" s="116">
        <v>33690</v>
      </c>
      <c r="AP43" s="116">
        <v>33440</v>
      </c>
      <c r="AQ43" s="116">
        <v>33240</v>
      </c>
      <c r="AR43" s="116">
        <v>33070</v>
      </c>
      <c r="AS43" s="116">
        <v>32950</v>
      </c>
      <c r="AT43" s="116">
        <v>32860</v>
      </c>
      <c r="AU43" s="116">
        <v>32800</v>
      </c>
      <c r="AV43" s="116">
        <v>32760</v>
      </c>
      <c r="AW43" s="116">
        <v>32750</v>
      </c>
      <c r="AX43" s="116">
        <v>32740</v>
      </c>
      <c r="AY43" s="116">
        <v>32730</v>
      </c>
      <c r="AZ43" s="116">
        <v>32740</v>
      </c>
      <c r="BA43" s="116">
        <v>32740</v>
      </c>
      <c r="BB43" s="116">
        <v>32750</v>
      </c>
      <c r="BC43" s="116">
        <v>32760</v>
      </c>
      <c r="BD43" s="116">
        <v>32770</v>
      </c>
      <c r="BE43" s="116">
        <v>32780</v>
      </c>
      <c r="BF43" s="116">
        <v>32780</v>
      </c>
    </row>
    <row r="44" spans="1:58" ht="12.75">
      <c r="A44" s="118" t="s">
        <v>344</v>
      </c>
      <c r="B44" s="11"/>
      <c r="C44" s="116">
        <v>30140</v>
      </c>
      <c r="D44" s="116">
        <v>29830</v>
      </c>
      <c r="E44" s="116">
        <v>28580</v>
      </c>
      <c r="F44" s="116">
        <v>27570</v>
      </c>
      <c r="G44" s="116">
        <v>26810</v>
      </c>
      <c r="H44" s="116">
        <v>26120</v>
      </c>
      <c r="I44" s="116">
        <v>26100</v>
      </c>
      <c r="J44" s="116">
        <v>25830</v>
      </c>
      <c r="K44" s="116">
        <v>26650</v>
      </c>
      <c r="L44" s="116">
        <v>27460</v>
      </c>
      <c r="M44" s="116">
        <v>28270</v>
      </c>
      <c r="N44" s="116">
        <v>29060</v>
      </c>
      <c r="O44" s="116">
        <v>29780</v>
      </c>
      <c r="P44" s="116">
        <v>29660</v>
      </c>
      <c r="Q44" s="116">
        <v>29490</v>
      </c>
      <c r="R44" s="116">
        <v>29670</v>
      </c>
      <c r="S44" s="116">
        <v>30200</v>
      </c>
      <c r="T44" s="116">
        <v>31290</v>
      </c>
      <c r="U44" s="116">
        <v>32220</v>
      </c>
      <c r="V44" s="116">
        <v>33230</v>
      </c>
      <c r="W44" s="116">
        <v>34380</v>
      </c>
      <c r="X44" s="116">
        <v>33770</v>
      </c>
      <c r="Y44" s="116">
        <v>33500</v>
      </c>
      <c r="Z44" s="116">
        <v>32870</v>
      </c>
      <c r="AA44" s="116">
        <v>32910</v>
      </c>
      <c r="AB44" s="116">
        <v>32560</v>
      </c>
      <c r="AC44" s="116">
        <v>31410</v>
      </c>
      <c r="AD44" s="116">
        <v>31660</v>
      </c>
      <c r="AE44" s="116">
        <v>31300</v>
      </c>
      <c r="AF44" s="116">
        <v>32180</v>
      </c>
      <c r="AG44" s="116">
        <v>31690</v>
      </c>
      <c r="AH44" s="116">
        <v>30520</v>
      </c>
      <c r="AI44" s="116">
        <v>31050</v>
      </c>
      <c r="AJ44" s="116">
        <v>31870</v>
      </c>
      <c r="AK44" s="116">
        <v>31840</v>
      </c>
      <c r="AL44" s="116">
        <v>32680</v>
      </c>
      <c r="AM44" s="116">
        <v>34150</v>
      </c>
      <c r="AN44" s="116">
        <v>34290</v>
      </c>
      <c r="AO44" s="116">
        <v>34160</v>
      </c>
      <c r="AP44" s="116">
        <v>33860</v>
      </c>
      <c r="AQ44" s="116">
        <v>33610</v>
      </c>
      <c r="AR44" s="116">
        <v>33410</v>
      </c>
      <c r="AS44" s="116">
        <v>33240</v>
      </c>
      <c r="AT44" s="116">
        <v>33120</v>
      </c>
      <c r="AU44" s="116">
        <v>33030</v>
      </c>
      <c r="AV44" s="116">
        <v>32970</v>
      </c>
      <c r="AW44" s="116">
        <v>32940</v>
      </c>
      <c r="AX44" s="116">
        <v>32920</v>
      </c>
      <c r="AY44" s="116">
        <v>32910</v>
      </c>
      <c r="AZ44" s="116">
        <v>32910</v>
      </c>
      <c r="BA44" s="116">
        <v>32910</v>
      </c>
      <c r="BB44" s="116">
        <v>32910</v>
      </c>
      <c r="BC44" s="116">
        <v>32930</v>
      </c>
      <c r="BD44" s="116">
        <v>32940</v>
      </c>
      <c r="BE44" s="116">
        <v>32950</v>
      </c>
      <c r="BF44" s="116">
        <v>32960</v>
      </c>
    </row>
    <row r="45" spans="1:58" ht="12.75">
      <c r="A45" s="118" t="s">
        <v>345</v>
      </c>
      <c r="B45" s="11"/>
      <c r="C45" s="116">
        <v>29680</v>
      </c>
      <c r="D45" s="116">
        <v>30280</v>
      </c>
      <c r="E45" s="116">
        <v>29950</v>
      </c>
      <c r="F45" s="116">
        <v>28720</v>
      </c>
      <c r="G45" s="116">
        <v>27720</v>
      </c>
      <c r="H45" s="116">
        <v>26970</v>
      </c>
      <c r="I45" s="116">
        <v>26280</v>
      </c>
      <c r="J45" s="116">
        <v>26250</v>
      </c>
      <c r="K45" s="116">
        <v>25990</v>
      </c>
      <c r="L45" s="116">
        <v>26800</v>
      </c>
      <c r="M45" s="116">
        <v>27620</v>
      </c>
      <c r="N45" s="116">
        <v>28430</v>
      </c>
      <c r="O45" s="116">
        <v>29210</v>
      </c>
      <c r="P45" s="116">
        <v>29930</v>
      </c>
      <c r="Q45" s="116">
        <v>29820</v>
      </c>
      <c r="R45" s="116">
        <v>29650</v>
      </c>
      <c r="S45" s="116">
        <v>29830</v>
      </c>
      <c r="T45" s="116">
        <v>30360</v>
      </c>
      <c r="U45" s="116">
        <v>31450</v>
      </c>
      <c r="V45" s="116">
        <v>32370</v>
      </c>
      <c r="W45" s="116">
        <v>33380</v>
      </c>
      <c r="X45" s="116">
        <v>34540</v>
      </c>
      <c r="Y45" s="116">
        <v>33930</v>
      </c>
      <c r="Z45" s="116">
        <v>33650</v>
      </c>
      <c r="AA45" s="116">
        <v>33030</v>
      </c>
      <c r="AB45" s="116">
        <v>33070</v>
      </c>
      <c r="AC45" s="116">
        <v>32720</v>
      </c>
      <c r="AD45" s="116">
        <v>31570</v>
      </c>
      <c r="AE45" s="116">
        <v>31810</v>
      </c>
      <c r="AF45" s="116">
        <v>31460</v>
      </c>
      <c r="AG45" s="116">
        <v>32330</v>
      </c>
      <c r="AH45" s="116">
        <v>31850</v>
      </c>
      <c r="AI45" s="116">
        <v>30680</v>
      </c>
      <c r="AJ45" s="116">
        <v>31210</v>
      </c>
      <c r="AK45" s="116">
        <v>32030</v>
      </c>
      <c r="AL45" s="116">
        <v>32000</v>
      </c>
      <c r="AM45" s="116">
        <v>32830</v>
      </c>
      <c r="AN45" s="116">
        <v>34310</v>
      </c>
      <c r="AO45" s="116">
        <v>34450</v>
      </c>
      <c r="AP45" s="116">
        <v>34310</v>
      </c>
      <c r="AQ45" s="116">
        <v>34020</v>
      </c>
      <c r="AR45" s="116">
        <v>33770</v>
      </c>
      <c r="AS45" s="116">
        <v>33570</v>
      </c>
      <c r="AT45" s="116">
        <v>33400</v>
      </c>
      <c r="AU45" s="116">
        <v>33280</v>
      </c>
      <c r="AV45" s="116">
        <v>33190</v>
      </c>
      <c r="AW45" s="116">
        <v>33130</v>
      </c>
      <c r="AX45" s="116">
        <v>33100</v>
      </c>
      <c r="AY45" s="116">
        <v>33080</v>
      </c>
      <c r="AZ45" s="116">
        <v>33070</v>
      </c>
      <c r="BA45" s="116">
        <v>33070</v>
      </c>
      <c r="BB45" s="116">
        <v>33070</v>
      </c>
      <c r="BC45" s="116">
        <v>33080</v>
      </c>
      <c r="BD45" s="116">
        <v>33090</v>
      </c>
      <c r="BE45" s="116">
        <v>33100</v>
      </c>
      <c r="BF45" s="116">
        <v>33110</v>
      </c>
    </row>
    <row r="46" spans="1:58" ht="12.75">
      <c r="A46" s="118" t="s">
        <v>346</v>
      </c>
      <c r="B46" s="11"/>
      <c r="C46" s="116">
        <v>30040</v>
      </c>
      <c r="D46" s="116">
        <v>29810</v>
      </c>
      <c r="E46" s="116">
        <v>30400</v>
      </c>
      <c r="F46" s="116">
        <v>30080</v>
      </c>
      <c r="G46" s="116">
        <v>28860</v>
      </c>
      <c r="H46" s="116">
        <v>27860</v>
      </c>
      <c r="I46" s="116">
        <v>27110</v>
      </c>
      <c r="J46" s="116">
        <v>26420</v>
      </c>
      <c r="K46" s="116">
        <v>26400</v>
      </c>
      <c r="L46" s="116">
        <v>26130</v>
      </c>
      <c r="M46" s="116">
        <v>26950</v>
      </c>
      <c r="N46" s="116">
        <v>27760</v>
      </c>
      <c r="O46" s="116">
        <v>28570</v>
      </c>
      <c r="P46" s="116">
        <v>29360</v>
      </c>
      <c r="Q46" s="116">
        <v>30070</v>
      </c>
      <c r="R46" s="116">
        <v>29960</v>
      </c>
      <c r="S46" s="116">
        <v>29790</v>
      </c>
      <c r="T46" s="116">
        <v>29970</v>
      </c>
      <c r="U46" s="116">
        <v>30500</v>
      </c>
      <c r="V46" s="116">
        <v>31590</v>
      </c>
      <c r="W46" s="116">
        <v>32520</v>
      </c>
      <c r="X46" s="116">
        <v>33530</v>
      </c>
      <c r="Y46" s="116">
        <v>34680</v>
      </c>
      <c r="Z46" s="116">
        <v>34070</v>
      </c>
      <c r="AA46" s="116">
        <v>33800</v>
      </c>
      <c r="AB46" s="116">
        <v>33170</v>
      </c>
      <c r="AC46" s="116">
        <v>33210</v>
      </c>
      <c r="AD46" s="116">
        <v>32860</v>
      </c>
      <c r="AE46" s="116">
        <v>31710</v>
      </c>
      <c r="AF46" s="116">
        <v>31960</v>
      </c>
      <c r="AG46" s="116">
        <v>31600</v>
      </c>
      <c r="AH46" s="116">
        <v>32480</v>
      </c>
      <c r="AI46" s="116">
        <v>32000</v>
      </c>
      <c r="AJ46" s="116">
        <v>30820</v>
      </c>
      <c r="AK46" s="116">
        <v>31360</v>
      </c>
      <c r="AL46" s="116">
        <v>32170</v>
      </c>
      <c r="AM46" s="116">
        <v>32140</v>
      </c>
      <c r="AN46" s="116">
        <v>32980</v>
      </c>
      <c r="AO46" s="116">
        <v>34450</v>
      </c>
      <c r="AP46" s="116">
        <v>34600</v>
      </c>
      <c r="AQ46" s="116">
        <v>34460</v>
      </c>
      <c r="AR46" s="116">
        <v>34170</v>
      </c>
      <c r="AS46" s="116">
        <v>33920</v>
      </c>
      <c r="AT46" s="116">
        <v>33710</v>
      </c>
      <c r="AU46" s="116">
        <v>33550</v>
      </c>
      <c r="AV46" s="116">
        <v>33430</v>
      </c>
      <c r="AW46" s="116">
        <v>33340</v>
      </c>
      <c r="AX46" s="116">
        <v>33280</v>
      </c>
      <c r="AY46" s="116">
        <v>33250</v>
      </c>
      <c r="AZ46" s="116">
        <v>33230</v>
      </c>
      <c r="BA46" s="116">
        <v>33220</v>
      </c>
      <c r="BB46" s="116">
        <v>33220</v>
      </c>
      <c r="BC46" s="116">
        <v>33220</v>
      </c>
      <c r="BD46" s="116">
        <v>33220</v>
      </c>
      <c r="BE46" s="116">
        <v>33230</v>
      </c>
      <c r="BF46" s="116">
        <v>33240</v>
      </c>
    </row>
    <row r="47" spans="1:58" ht="12.75">
      <c r="A47" s="118" t="s">
        <v>347</v>
      </c>
      <c r="B47" s="11"/>
      <c r="C47" s="116">
        <v>29710</v>
      </c>
      <c r="D47" s="116">
        <v>30160</v>
      </c>
      <c r="E47" s="116">
        <v>29910</v>
      </c>
      <c r="F47" s="116">
        <v>30510</v>
      </c>
      <c r="G47" s="116">
        <v>30210</v>
      </c>
      <c r="H47" s="116">
        <v>28990</v>
      </c>
      <c r="I47" s="116">
        <v>27990</v>
      </c>
      <c r="J47" s="116">
        <v>27240</v>
      </c>
      <c r="K47" s="116">
        <v>26550</v>
      </c>
      <c r="L47" s="116">
        <v>26530</v>
      </c>
      <c r="M47" s="116">
        <v>26260</v>
      </c>
      <c r="N47" s="116">
        <v>27080</v>
      </c>
      <c r="O47" s="116">
        <v>27890</v>
      </c>
      <c r="P47" s="116">
        <v>28700</v>
      </c>
      <c r="Q47" s="116">
        <v>29490</v>
      </c>
      <c r="R47" s="116">
        <v>30200</v>
      </c>
      <c r="S47" s="116">
        <v>30090</v>
      </c>
      <c r="T47" s="116">
        <v>29920</v>
      </c>
      <c r="U47" s="116">
        <v>30100</v>
      </c>
      <c r="V47" s="116">
        <v>30630</v>
      </c>
      <c r="W47" s="116">
        <v>31720</v>
      </c>
      <c r="X47" s="116">
        <v>32650</v>
      </c>
      <c r="Y47" s="116">
        <v>33660</v>
      </c>
      <c r="Z47" s="116">
        <v>34810</v>
      </c>
      <c r="AA47" s="116">
        <v>34200</v>
      </c>
      <c r="AB47" s="116">
        <v>33930</v>
      </c>
      <c r="AC47" s="116">
        <v>33310</v>
      </c>
      <c r="AD47" s="116">
        <v>33340</v>
      </c>
      <c r="AE47" s="116">
        <v>33000</v>
      </c>
      <c r="AF47" s="116">
        <v>31850</v>
      </c>
      <c r="AG47" s="116">
        <v>32090</v>
      </c>
      <c r="AH47" s="116">
        <v>31740</v>
      </c>
      <c r="AI47" s="116">
        <v>32610</v>
      </c>
      <c r="AJ47" s="116">
        <v>32130</v>
      </c>
      <c r="AK47" s="116">
        <v>30960</v>
      </c>
      <c r="AL47" s="116">
        <v>31490</v>
      </c>
      <c r="AM47" s="116">
        <v>32310</v>
      </c>
      <c r="AN47" s="116">
        <v>32280</v>
      </c>
      <c r="AO47" s="116">
        <v>33120</v>
      </c>
      <c r="AP47" s="116">
        <v>34590</v>
      </c>
      <c r="AQ47" s="116">
        <v>34730</v>
      </c>
      <c r="AR47" s="116">
        <v>34590</v>
      </c>
      <c r="AS47" s="116">
        <v>34300</v>
      </c>
      <c r="AT47" s="116">
        <v>34050</v>
      </c>
      <c r="AU47" s="116">
        <v>33850</v>
      </c>
      <c r="AV47" s="116">
        <v>33690</v>
      </c>
      <c r="AW47" s="116">
        <v>33560</v>
      </c>
      <c r="AX47" s="116">
        <v>33470</v>
      </c>
      <c r="AY47" s="116">
        <v>33420</v>
      </c>
      <c r="AZ47" s="116">
        <v>33380</v>
      </c>
      <c r="BA47" s="116">
        <v>33360</v>
      </c>
      <c r="BB47" s="116">
        <v>33360</v>
      </c>
      <c r="BC47" s="116">
        <v>33350</v>
      </c>
      <c r="BD47" s="116">
        <v>33350</v>
      </c>
      <c r="BE47" s="116">
        <v>33360</v>
      </c>
      <c r="BF47" s="116">
        <v>33370</v>
      </c>
    </row>
    <row r="48" spans="1:58" ht="12.75">
      <c r="A48" s="118" t="s">
        <v>348</v>
      </c>
      <c r="B48" s="11"/>
      <c r="C48" s="116">
        <v>29570</v>
      </c>
      <c r="D48" s="116">
        <v>29820</v>
      </c>
      <c r="E48" s="116">
        <v>30250</v>
      </c>
      <c r="F48" s="116">
        <v>30020</v>
      </c>
      <c r="G48" s="116">
        <v>30620</v>
      </c>
      <c r="H48" s="116">
        <v>30320</v>
      </c>
      <c r="I48" s="116">
        <v>29100</v>
      </c>
      <c r="J48" s="116">
        <v>28110</v>
      </c>
      <c r="K48" s="116">
        <v>27350</v>
      </c>
      <c r="L48" s="116">
        <v>26670</v>
      </c>
      <c r="M48" s="116">
        <v>26650</v>
      </c>
      <c r="N48" s="116">
        <v>26380</v>
      </c>
      <c r="O48" s="116">
        <v>27200</v>
      </c>
      <c r="P48" s="116">
        <v>28010</v>
      </c>
      <c r="Q48" s="116">
        <v>28820</v>
      </c>
      <c r="R48" s="116">
        <v>29610</v>
      </c>
      <c r="S48" s="116">
        <v>30320</v>
      </c>
      <c r="T48" s="116">
        <v>30210</v>
      </c>
      <c r="U48" s="116">
        <v>30040</v>
      </c>
      <c r="V48" s="116">
        <v>30220</v>
      </c>
      <c r="W48" s="116">
        <v>30750</v>
      </c>
      <c r="X48" s="116">
        <v>31840</v>
      </c>
      <c r="Y48" s="116">
        <v>32770</v>
      </c>
      <c r="Z48" s="116">
        <v>33770</v>
      </c>
      <c r="AA48" s="116">
        <v>34930</v>
      </c>
      <c r="AB48" s="116">
        <v>34320</v>
      </c>
      <c r="AC48" s="116">
        <v>34050</v>
      </c>
      <c r="AD48" s="116">
        <v>33430</v>
      </c>
      <c r="AE48" s="116">
        <v>33460</v>
      </c>
      <c r="AF48" s="116">
        <v>33120</v>
      </c>
      <c r="AG48" s="116">
        <v>31970</v>
      </c>
      <c r="AH48" s="116">
        <v>32220</v>
      </c>
      <c r="AI48" s="116">
        <v>31860</v>
      </c>
      <c r="AJ48" s="116">
        <v>32740</v>
      </c>
      <c r="AK48" s="116">
        <v>32250</v>
      </c>
      <c r="AL48" s="116">
        <v>31080</v>
      </c>
      <c r="AM48" s="116">
        <v>31620</v>
      </c>
      <c r="AN48" s="116">
        <v>32430</v>
      </c>
      <c r="AO48" s="116">
        <v>32400</v>
      </c>
      <c r="AP48" s="116">
        <v>33240</v>
      </c>
      <c r="AQ48" s="116">
        <v>34710</v>
      </c>
      <c r="AR48" s="116">
        <v>34850</v>
      </c>
      <c r="AS48" s="116">
        <v>34720</v>
      </c>
      <c r="AT48" s="116">
        <v>34420</v>
      </c>
      <c r="AU48" s="116">
        <v>34180</v>
      </c>
      <c r="AV48" s="116">
        <v>33970</v>
      </c>
      <c r="AW48" s="116">
        <v>33810</v>
      </c>
      <c r="AX48" s="116">
        <v>33690</v>
      </c>
      <c r="AY48" s="116">
        <v>33600</v>
      </c>
      <c r="AZ48" s="116">
        <v>33540</v>
      </c>
      <c r="BA48" s="116">
        <v>33510</v>
      </c>
      <c r="BB48" s="116">
        <v>33490</v>
      </c>
      <c r="BC48" s="116">
        <v>33480</v>
      </c>
      <c r="BD48" s="116">
        <v>33480</v>
      </c>
      <c r="BE48" s="116">
        <v>33480</v>
      </c>
      <c r="BF48" s="116">
        <v>33480</v>
      </c>
    </row>
    <row r="49" spans="1:58" ht="12.75">
      <c r="A49" s="118" t="s">
        <v>349</v>
      </c>
      <c r="B49" s="11"/>
      <c r="C49" s="116">
        <v>29920</v>
      </c>
      <c r="D49" s="116">
        <v>29660</v>
      </c>
      <c r="E49" s="116">
        <v>29890</v>
      </c>
      <c r="F49" s="116">
        <v>30330</v>
      </c>
      <c r="G49" s="116">
        <v>30110</v>
      </c>
      <c r="H49" s="116">
        <v>30720</v>
      </c>
      <c r="I49" s="116">
        <v>30410</v>
      </c>
      <c r="J49" s="116">
        <v>29200</v>
      </c>
      <c r="K49" s="116">
        <v>28200</v>
      </c>
      <c r="L49" s="116">
        <v>27450</v>
      </c>
      <c r="M49" s="116">
        <v>26770</v>
      </c>
      <c r="N49" s="116">
        <v>26750</v>
      </c>
      <c r="O49" s="116">
        <v>26480</v>
      </c>
      <c r="P49" s="116">
        <v>27300</v>
      </c>
      <c r="Q49" s="116">
        <v>28110</v>
      </c>
      <c r="R49" s="116">
        <v>28920</v>
      </c>
      <c r="S49" s="116">
        <v>29710</v>
      </c>
      <c r="T49" s="116">
        <v>30420</v>
      </c>
      <c r="U49" s="116">
        <v>30310</v>
      </c>
      <c r="V49" s="116">
        <v>30140</v>
      </c>
      <c r="W49" s="116">
        <v>30320</v>
      </c>
      <c r="X49" s="116">
        <v>30850</v>
      </c>
      <c r="Y49" s="116">
        <v>31940</v>
      </c>
      <c r="Z49" s="116">
        <v>32870</v>
      </c>
      <c r="AA49" s="116">
        <v>33870</v>
      </c>
      <c r="AB49" s="116">
        <v>35020</v>
      </c>
      <c r="AC49" s="116">
        <v>34420</v>
      </c>
      <c r="AD49" s="116">
        <v>34150</v>
      </c>
      <c r="AE49" s="116">
        <v>33530</v>
      </c>
      <c r="AF49" s="116">
        <v>33570</v>
      </c>
      <c r="AG49" s="116">
        <v>33220</v>
      </c>
      <c r="AH49" s="116">
        <v>32070</v>
      </c>
      <c r="AI49" s="116">
        <v>32320</v>
      </c>
      <c r="AJ49" s="116">
        <v>31970</v>
      </c>
      <c r="AK49" s="116">
        <v>32840</v>
      </c>
      <c r="AL49" s="116">
        <v>32360</v>
      </c>
      <c r="AM49" s="116">
        <v>31190</v>
      </c>
      <c r="AN49" s="116">
        <v>31720</v>
      </c>
      <c r="AO49" s="116">
        <v>32540</v>
      </c>
      <c r="AP49" s="116">
        <v>32510</v>
      </c>
      <c r="AQ49" s="116">
        <v>33340</v>
      </c>
      <c r="AR49" s="116">
        <v>34810</v>
      </c>
      <c r="AS49" s="116">
        <v>34960</v>
      </c>
      <c r="AT49" s="116">
        <v>34820</v>
      </c>
      <c r="AU49" s="116">
        <v>34530</v>
      </c>
      <c r="AV49" s="116">
        <v>34280</v>
      </c>
      <c r="AW49" s="116">
        <v>34080</v>
      </c>
      <c r="AX49" s="116">
        <v>33910</v>
      </c>
      <c r="AY49" s="116">
        <v>33790</v>
      </c>
      <c r="AZ49" s="116">
        <v>33700</v>
      </c>
      <c r="BA49" s="116">
        <v>33640</v>
      </c>
      <c r="BB49" s="116">
        <v>33610</v>
      </c>
      <c r="BC49" s="116">
        <v>33590</v>
      </c>
      <c r="BD49" s="116">
        <v>33590</v>
      </c>
      <c r="BE49" s="116">
        <v>33580</v>
      </c>
      <c r="BF49" s="116">
        <v>33580</v>
      </c>
    </row>
    <row r="50" spans="1:58" ht="12.75">
      <c r="A50" s="118" t="s">
        <v>350</v>
      </c>
      <c r="B50" s="11"/>
      <c r="C50" s="116">
        <v>30380</v>
      </c>
      <c r="D50" s="116">
        <v>29990</v>
      </c>
      <c r="E50" s="116">
        <v>29720</v>
      </c>
      <c r="F50" s="116">
        <v>29960</v>
      </c>
      <c r="G50" s="116">
        <v>30410</v>
      </c>
      <c r="H50" s="116">
        <v>30180</v>
      </c>
      <c r="I50" s="116">
        <v>30790</v>
      </c>
      <c r="J50" s="116">
        <v>30490</v>
      </c>
      <c r="K50" s="116">
        <v>29270</v>
      </c>
      <c r="L50" s="116">
        <v>28280</v>
      </c>
      <c r="M50" s="116">
        <v>27530</v>
      </c>
      <c r="N50" s="116">
        <v>26850</v>
      </c>
      <c r="O50" s="116">
        <v>26830</v>
      </c>
      <c r="P50" s="116">
        <v>26570</v>
      </c>
      <c r="Q50" s="116">
        <v>27380</v>
      </c>
      <c r="R50" s="116">
        <v>28200</v>
      </c>
      <c r="S50" s="116">
        <v>29000</v>
      </c>
      <c r="T50" s="116">
        <v>29790</v>
      </c>
      <c r="U50" s="116">
        <v>30500</v>
      </c>
      <c r="V50" s="116">
        <v>30390</v>
      </c>
      <c r="W50" s="116">
        <v>30220</v>
      </c>
      <c r="X50" s="116">
        <v>30400</v>
      </c>
      <c r="Y50" s="116">
        <v>30940</v>
      </c>
      <c r="Z50" s="116">
        <v>32020</v>
      </c>
      <c r="AA50" s="116">
        <v>32950</v>
      </c>
      <c r="AB50" s="116">
        <v>33950</v>
      </c>
      <c r="AC50" s="116">
        <v>35100</v>
      </c>
      <c r="AD50" s="116">
        <v>34500</v>
      </c>
      <c r="AE50" s="116">
        <v>34230</v>
      </c>
      <c r="AF50" s="116">
        <v>33610</v>
      </c>
      <c r="AG50" s="116">
        <v>33650</v>
      </c>
      <c r="AH50" s="116">
        <v>33300</v>
      </c>
      <c r="AI50" s="116">
        <v>32160</v>
      </c>
      <c r="AJ50" s="116">
        <v>32400</v>
      </c>
      <c r="AK50" s="116">
        <v>32050</v>
      </c>
      <c r="AL50" s="116">
        <v>32920</v>
      </c>
      <c r="AM50" s="116">
        <v>32440</v>
      </c>
      <c r="AN50" s="116">
        <v>31280</v>
      </c>
      <c r="AO50" s="116">
        <v>31810</v>
      </c>
      <c r="AP50" s="116">
        <v>32620</v>
      </c>
      <c r="AQ50" s="116">
        <v>32590</v>
      </c>
      <c r="AR50" s="116">
        <v>33430</v>
      </c>
      <c r="AS50" s="116">
        <v>34900</v>
      </c>
      <c r="AT50" s="116">
        <v>35040</v>
      </c>
      <c r="AU50" s="116">
        <v>34900</v>
      </c>
      <c r="AV50" s="116">
        <v>34610</v>
      </c>
      <c r="AW50" s="116">
        <v>34370</v>
      </c>
      <c r="AX50" s="116">
        <v>34160</v>
      </c>
      <c r="AY50" s="116">
        <v>34000</v>
      </c>
      <c r="AZ50" s="116">
        <v>33880</v>
      </c>
      <c r="BA50" s="116">
        <v>33790</v>
      </c>
      <c r="BB50" s="116">
        <v>33730</v>
      </c>
      <c r="BC50" s="116">
        <v>33700</v>
      </c>
      <c r="BD50" s="116">
        <v>33680</v>
      </c>
      <c r="BE50" s="116">
        <v>33670</v>
      </c>
      <c r="BF50" s="116">
        <v>33670</v>
      </c>
    </row>
    <row r="51" spans="1:58" ht="12.75">
      <c r="A51" s="118" t="s">
        <v>351</v>
      </c>
      <c r="B51" s="11"/>
      <c r="C51" s="116">
        <v>31600</v>
      </c>
      <c r="D51" s="116">
        <v>30430</v>
      </c>
      <c r="E51" s="116">
        <v>30020</v>
      </c>
      <c r="F51" s="116">
        <v>29760</v>
      </c>
      <c r="G51" s="116">
        <v>30010</v>
      </c>
      <c r="H51" s="116">
        <v>30460</v>
      </c>
      <c r="I51" s="116">
        <v>30240</v>
      </c>
      <c r="J51" s="116">
        <v>30840</v>
      </c>
      <c r="K51" s="116">
        <v>30540</v>
      </c>
      <c r="L51" s="116">
        <v>29330</v>
      </c>
      <c r="M51" s="116">
        <v>28340</v>
      </c>
      <c r="N51" s="116">
        <v>27590</v>
      </c>
      <c r="O51" s="116">
        <v>26920</v>
      </c>
      <c r="P51" s="116">
        <v>26890</v>
      </c>
      <c r="Q51" s="116">
        <v>26630</v>
      </c>
      <c r="R51" s="116">
        <v>27450</v>
      </c>
      <c r="S51" s="116">
        <v>28260</v>
      </c>
      <c r="T51" s="116">
        <v>29060</v>
      </c>
      <c r="U51" s="116">
        <v>29850</v>
      </c>
      <c r="V51" s="116">
        <v>30560</v>
      </c>
      <c r="W51" s="116">
        <v>30450</v>
      </c>
      <c r="X51" s="116">
        <v>30290</v>
      </c>
      <c r="Y51" s="116">
        <v>30470</v>
      </c>
      <c r="Z51" s="116">
        <v>31000</v>
      </c>
      <c r="AA51" s="116">
        <v>32090</v>
      </c>
      <c r="AB51" s="116">
        <v>33010</v>
      </c>
      <c r="AC51" s="116">
        <v>34020</v>
      </c>
      <c r="AD51" s="116">
        <v>35170</v>
      </c>
      <c r="AE51" s="116">
        <v>34560</v>
      </c>
      <c r="AF51" s="116">
        <v>34290</v>
      </c>
      <c r="AG51" s="116">
        <v>33670</v>
      </c>
      <c r="AH51" s="116">
        <v>33710</v>
      </c>
      <c r="AI51" s="116">
        <v>33370</v>
      </c>
      <c r="AJ51" s="116">
        <v>32220</v>
      </c>
      <c r="AK51" s="116">
        <v>32470</v>
      </c>
      <c r="AL51" s="116">
        <v>32120</v>
      </c>
      <c r="AM51" s="116">
        <v>32990</v>
      </c>
      <c r="AN51" s="116">
        <v>32510</v>
      </c>
      <c r="AO51" s="116">
        <v>31340</v>
      </c>
      <c r="AP51" s="116">
        <v>31880</v>
      </c>
      <c r="AQ51" s="116">
        <v>32690</v>
      </c>
      <c r="AR51" s="116">
        <v>32660</v>
      </c>
      <c r="AS51" s="116">
        <v>33500</v>
      </c>
      <c r="AT51" s="116">
        <v>34960</v>
      </c>
      <c r="AU51" s="116">
        <v>35110</v>
      </c>
      <c r="AV51" s="116">
        <v>34970</v>
      </c>
      <c r="AW51" s="116">
        <v>34680</v>
      </c>
      <c r="AX51" s="116">
        <v>34430</v>
      </c>
      <c r="AY51" s="116">
        <v>34230</v>
      </c>
      <c r="AZ51" s="116">
        <v>34070</v>
      </c>
      <c r="BA51" s="116">
        <v>33940</v>
      </c>
      <c r="BB51" s="116">
        <v>33860</v>
      </c>
      <c r="BC51" s="116">
        <v>33800</v>
      </c>
      <c r="BD51" s="116">
        <v>33760</v>
      </c>
      <c r="BE51" s="116">
        <v>33750</v>
      </c>
      <c r="BF51" s="116">
        <v>33740</v>
      </c>
    </row>
    <row r="52" spans="1:58" ht="12.75">
      <c r="A52" s="118" t="s">
        <v>352</v>
      </c>
      <c r="B52" s="11"/>
      <c r="C52" s="116">
        <v>31940</v>
      </c>
      <c r="D52" s="116">
        <v>31630</v>
      </c>
      <c r="E52" s="116">
        <v>30440</v>
      </c>
      <c r="F52" s="116">
        <v>30040</v>
      </c>
      <c r="G52" s="116">
        <v>29800</v>
      </c>
      <c r="H52" s="116">
        <v>30040</v>
      </c>
      <c r="I52" s="116">
        <v>30490</v>
      </c>
      <c r="J52" s="116">
        <v>30270</v>
      </c>
      <c r="K52" s="116">
        <v>30880</v>
      </c>
      <c r="L52" s="116">
        <v>30580</v>
      </c>
      <c r="M52" s="116">
        <v>29370</v>
      </c>
      <c r="N52" s="116">
        <v>28380</v>
      </c>
      <c r="O52" s="116">
        <v>27640</v>
      </c>
      <c r="P52" s="116">
        <v>26960</v>
      </c>
      <c r="Q52" s="116">
        <v>26940</v>
      </c>
      <c r="R52" s="116">
        <v>26680</v>
      </c>
      <c r="S52" s="116">
        <v>27490</v>
      </c>
      <c r="T52" s="116">
        <v>28300</v>
      </c>
      <c r="U52" s="116">
        <v>29110</v>
      </c>
      <c r="V52" s="116">
        <v>29890</v>
      </c>
      <c r="W52" s="116">
        <v>30610</v>
      </c>
      <c r="X52" s="116">
        <v>30500</v>
      </c>
      <c r="Y52" s="116">
        <v>30330</v>
      </c>
      <c r="Z52" s="116">
        <v>30510</v>
      </c>
      <c r="AA52" s="116">
        <v>31050</v>
      </c>
      <c r="AB52" s="116">
        <v>32130</v>
      </c>
      <c r="AC52" s="116">
        <v>33050</v>
      </c>
      <c r="AD52" s="116">
        <v>34060</v>
      </c>
      <c r="AE52" s="116">
        <v>35210</v>
      </c>
      <c r="AF52" s="116">
        <v>34600</v>
      </c>
      <c r="AG52" s="116">
        <v>34340</v>
      </c>
      <c r="AH52" s="116">
        <v>33720</v>
      </c>
      <c r="AI52" s="116">
        <v>33760</v>
      </c>
      <c r="AJ52" s="116">
        <v>33410</v>
      </c>
      <c r="AK52" s="116">
        <v>32270</v>
      </c>
      <c r="AL52" s="116">
        <v>32520</v>
      </c>
      <c r="AM52" s="116">
        <v>32170</v>
      </c>
      <c r="AN52" s="116">
        <v>33040</v>
      </c>
      <c r="AO52" s="116">
        <v>32560</v>
      </c>
      <c r="AP52" s="116">
        <v>31390</v>
      </c>
      <c r="AQ52" s="116">
        <v>31920</v>
      </c>
      <c r="AR52" s="116">
        <v>32740</v>
      </c>
      <c r="AS52" s="116">
        <v>32710</v>
      </c>
      <c r="AT52" s="116">
        <v>33540</v>
      </c>
      <c r="AU52" s="116">
        <v>35010</v>
      </c>
      <c r="AV52" s="116">
        <v>35150</v>
      </c>
      <c r="AW52" s="116">
        <v>35020</v>
      </c>
      <c r="AX52" s="116">
        <v>34730</v>
      </c>
      <c r="AY52" s="116">
        <v>34480</v>
      </c>
      <c r="AZ52" s="116">
        <v>34280</v>
      </c>
      <c r="BA52" s="116">
        <v>34120</v>
      </c>
      <c r="BB52" s="116">
        <v>33990</v>
      </c>
      <c r="BC52" s="116">
        <v>33900</v>
      </c>
      <c r="BD52" s="116">
        <v>33850</v>
      </c>
      <c r="BE52" s="116">
        <v>33810</v>
      </c>
      <c r="BF52" s="116">
        <v>33800</v>
      </c>
    </row>
    <row r="53" spans="1:58" ht="12.75">
      <c r="A53" s="118" t="s">
        <v>353</v>
      </c>
      <c r="B53" s="11"/>
      <c r="C53" s="116">
        <v>32110</v>
      </c>
      <c r="D53" s="116">
        <v>31950</v>
      </c>
      <c r="E53" s="116">
        <v>31620</v>
      </c>
      <c r="F53" s="116">
        <v>30450</v>
      </c>
      <c r="G53" s="116">
        <v>30060</v>
      </c>
      <c r="H53" s="116">
        <v>29810</v>
      </c>
      <c r="I53" s="116">
        <v>30060</v>
      </c>
      <c r="J53" s="116">
        <v>30510</v>
      </c>
      <c r="K53" s="116">
        <v>30290</v>
      </c>
      <c r="L53" s="116">
        <v>30900</v>
      </c>
      <c r="M53" s="116">
        <v>30600</v>
      </c>
      <c r="N53" s="116">
        <v>29390</v>
      </c>
      <c r="O53" s="116">
        <v>28410</v>
      </c>
      <c r="P53" s="116">
        <v>27660</v>
      </c>
      <c r="Q53" s="116">
        <v>26990</v>
      </c>
      <c r="R53" s="116">
        <v>26970</v>
      </c>
      <c r="S53" s="116">
        <v>26710</v>
      </c>
      <c r="T53" s="116">
        <v>27520</v>
      </c>
      <c r="U53" s="116">
        <v>28330</v>
      </c>
      <c r="V53" s="116">
        <v>29140</v>
      </c>
      <c r="W53" s="116">
        <v>29920</v>
      </c>
      <c r="X53" s="116">
        <v>30640</v>
      </c>
      <c r="Y53" s="116">
        <v>30530</v>
      </c>
      <c r="Z53" s="116">
        <v>30360</v>
      </c>
      <c r="AA53" s="116">
        <v>30540</v>
      </c>
      <c r="AB53" s="116">
        <v>31070</v>
      </c>
      <c r="AC53" s="116">
        <v>32160</v>
      </c>
      <c r="AD53" s="116">
        <v>33080</v>
      </c>
      <c r="AE53" s="116">
        <v>34090</v>
      </c>
      <c r="AF53" s="116">
        <v>35230</v>
      </c>
      <c r="AG53" s="116">
        <v>34630</v>
      </c>
      <c r="AH53" s="116">
        <v>34360</v>
      </c>
      <c r="AI53" s="116">
        <v>33750</v>
      </c>
      <c r="AJ53" s="116">
        <v>33790</v>
      </c>
      <c r="AK53" s="116">
        <v>33440</v>
      </c>
      <c r="AL53" s="116">
        <v>32300</v>
      </c>
      <c r="AM53" s="116">
        <v>32550</v>
      </c>
      <c r="AN53" s="116">
        <v>32200</v>
      </c>
      <c r="AO53" s="116">
        <v>33070</v>
      </c>
      <c r="AP53" s="116">
        <v>32590</v>
      </c>
      <c r="AQ53" s="116">
        <v>31430</v>
      </c>
      <c r="AR53" s="116">
        <v>31960</v>
      </c>
      <c r="AS53" s="116">
        <v>32770</v>
      </c>
      <c r="AT53" s="116">
        <v>32740</v>
      </c>
      <c r="AU53" s="116">
        <v>33580</v>
      </c>
      <c r="AV53" s="116">
        <v>35040</v>
      </c>
      <c r="AW53" s="116">
        <v>35180</v>
      </c>
      <c r="AX53" s="116">
        <v>35050</v>
      </c>
      <c r="AY53" s="116">
        <v>34760</v>
      </c>
      <c r="AZ53" s="116">
        <v>34510</v>
      </c>
      <c r="BA53" s="116">
        <v>34310</v>
      </c>
      <c r="BB53" s="116">
        <v>34150</v>
      </c>
      <c r="BC53" s="116">
        <v>34030</v>
      </c>
      <c r="BD53" s="116">
        <v>33940</v>
      </c>
      <c r="BE53" s="116">
        <v>33880</v>
      </c>
      <c r="BF53" s="116">
        <v>33850</v>
      </c>
    </row>
    <row r="54" spans="1:58" ht="12.75">
      <c r="A54" s="118" t="s">
        <v>354</v>
      </c>
      <c r="B54" s="11"/>
      <c r="C54" s="116">
        <v>31490</v>
      </c>
      <c r="D54" s="116">
        <v>32090</v>
      </c>
      <c r="E54" s="116">
        <v>31920</v>
      </c>
      <c r="F54" s="116">
        <v>31600</v>
      </c>
      <c r="G54" s="116">
        <v>30440</v>
      </c>
      <c r="H54" s="116">
        <v>30050</v>
      </c>
      <c r="I54" s="116">
        <v>29810</v>
      </c>
      <c r="J54" s="116">
        <v>30050</v>
      </c>
      <c r="K54" s="116">
        <v>30510</v>
      </c>
      <c r="L54" s="116">
        <v>30290</v>
      </c>
      <c r="M54" s="116">
        <v>30890</v>
      </c>
      <c r="N54" s="116">
        <v>30600</v>
      </c>
      <c r="O54" s="116">
        <v>29390</v>
      </c>
      <c r="P54" s="116">
        <v>28410</v>
      </c>
      <c r="Q54" s="116">
        <v>27670</v>
      </c>
      <c r="R54" s="116">
        <v>27000</v>
      </c>
      <c r="S54" s="116">
        <v>26970</v>
      </c>
      <c r="T54" s="116">
        <v>26720</v>
      </c>
      <c r="U54" s="116">
        <v>27530</v>
      </c>
      <c r="V54" s="116">
        <v>28340</v>
      </c>
      <c r="W54" s="116">
        <v>29140</v>
      </c>
      <c r="X54" s="116">
        <v>29930</v>
      </c>
      <c r="Y54" s="116">
        <v>30640</v>
      </c>
      <c r="Z54" s="116">
        <v>30530</v>
      </c>
      <c r="AA54" s="116">
        <v>30370</v>
      </c>
      <c r="AB54" s="116">
        <v>30550</v>
      </c>
      <c r="AC54" s="116">
        <v>31080</v>
      </c>
      <c r="AD54" s="116">
        <v>32170</v>
      </c>
      <c r="AE54" s="116">
        <v>33090</v>
      </c>
      <c r="AF54" s="116">
        <v>34090</v>
      </c>
      <c r="AG54" s="116">
        <v>35240</v>
      </c>
      <c r="AH54" s="116">
        <v>34630</v>
      </c>
      <c r="AI54" s="116">
        <v>34370</v>
      </c>
      <c r="AJ54" s="116">
        <v>33750</v>
      </c>
      <c r="AK54" s="116">
        <v>33790</v>
      </c>
      <c r="AL54" s="116">
        <v>33450</v>
      </c>
      <c r="AM54" s="116">
        <v>32310</v>
      </c>
      <c r="AN54" s="116">
        <v>32560</v>
      </c>
      <c r="AO54" s="116">
        <v>32210</v>
      </c>
      <c r="AP54" s="116">
        <v>33080</v>
      </c>
      <c r="AQ54" s="116">
        <v>32600</v>
      </c>
      <c r="AR54" s="116">
        <v>31440</v>
      </c>
      <c r="AS54" s="116">
        <v>31970</v>
      </c>
      <c r="AT54" s="116">
        <v>32780</v>
      </c>
      <c r="AU54" s="116">
        <v>32750</v>
      </c>
      <c r="AV54" s="116">
        <v>33590</v>
      </c>
      <c r="AW54" s="116">
        <v>35050</v>
      </c>
      <c r="AX54" s="116">
        <v>35190</v>
      </c>
      <c r="AY54" s="116">
        <v>35060</v>
      </c>
      <c r="AZ54" s="116">
        <v>34770</v>
      </c>
      <c r="BA54" s="116">
        <v>34520</v>
      </c>
      <c r="BB54" s="116">
        <v>34320</v>
      </c>
      <c r="BC54" s="116">
        <v>34160</v>
      </c>
      <c r="BD54" s="116">
        <v>34040</v>
      </c>
      <c r="BE54" s="116">
        <v>33950</v>
      </c>
      <c r="BF54" s="116">
        <v>33890</v>
      </c>
    </row>
    <row r="55" spans="1:58" ht="12.75">
      <c r="A55" s="118" t="s">
        <v>355</v>
      </c>
      <c r="B55" s="11"/>
      <c r="C55" s="116">
        <v>30540</v>
      </c>
      <c r="D55" s="116">
        <v>31450</v>
      </c>
      <c r="E55" s="116">
        <v>32030</v>
      </c>
      <c r="F55" s="116">
        <v>31870</v>
      </c>
      <c r="G55" s="116">
        <v>31560</v>
      </c>
      <c r="H55" s="116">
        <v>30410</v>
      </c>
      <c r="I55" s="116">
        <v>30020</v>
      </c>
      <c r="J55" s="116">
        <v>29780</v>
      </c>
      <c r="K55" s="116">
        <v>30030</v>
      </c>
      <c r="L55" s="116">
        <v>30480</v>
      </c>
      <c r="M55" s="116">
        <v>30260</v>
      </c>
      <c r="N55" s="116">
        <v>30870</v>
      </c>
      <c r="O55" s="116">
        <v>30570</v>
      </c>
      <c r="P55" s="116">
        <v>29370</v>
      </c>
      <c r="Q55" s="116">
        <v>28390</v>
      </c>
      <c r="R55" s="116">
        <v>27650</v>
      </c>
      <c r="S55" s="116">
        <v>26980</v>
      </c>
      <c r="T55" s="116">
        <v>26960</v>
      </c>
      <c r="U55" s="116">
        <v>26700</v>
      </c>
      <c r="V55" s="116">
        <v>27510</v>
      </c>
      <c r="W55" s="116">
        <v>28330</v>
      </c>
      <c r="X55" s="116">
        <v>29130</v>
      </c>
      <c r="Y55" s="116">
        <v>29910</v>
      </c>
      <c r="Z55" s="116">
        <v>30620</v>
      </c>
      <c r="AA55" s="116">
        <v>30520</v>
      </c>
      <c r="AB55" s="116">
        <v>30350</v>
      </c>
      <c r="AC55" s="116">
        <v>30540</v>
      </c>
      <c r="AD55" s="116">
        <v>31070</v>
      </c>
      <c r="AE55" s="116">
        <v>32150</v>
      </c>
      <c r="AF55" s="116">
        <v>33070</v>
      </c>
      <c r="AG55" s="116">
        <v>34070</v>
      </c>
      <c r="AH55" s="116">
        <v>35220</v>
      </c>
      <c r="AI55" s="116">
        <v>34620</v>
      </c>
      <c r="AJ55" s="116">
        <v>34350</v>
      </c>
      <c r="AK55" s="116">
        <v>33740</v>
      </c>
      <c r="AL55" s="116">
        <v>33780</v>
      </c>
      <c r="AM55" s="116">
        <v>33430</v>
      </c>
      <c r="AN55" s="116">
        <v>32300</v>
      </c>
      <c r="AO55" s="116">
        <v>32540</v>
      </c>
      <c r="AP55" s="116">
        <v>32200</v>
      </c>
      <c r="AQ55" s="116">
        <v>33060</v>
      </c>
      <c r="AR55" s="116">
        <v>32590</v>
      </c>
      <c r="AS55" s="116">
        <v>31430</v>
      </c>
      <c r="AT55" s="116">
        <v>31960</v>
      </c>
      <c r="AU55" s="116">
        <v>32770</v>
      </c>
      <c r="AV55" s="116">
        <v>32740</v>
      </c>
      <c r="AW55" s="116">
        <v>33570</v>
      </c>
      <c r="AX55" s="116">
        <v>35030</v>
      </c>
      <c r="AY55" s="116">
        <v>35180</v>
      </c>
      <c r="AZ55" s="116">
        <v>35040</v>
      </c>
      <c r="BA55" s="116">
        <v>34750</v>
      </c>
      <c r="BB55" s="116">
        <v>34510</v>
      </c>
      <c r="BC55" s="116">
        <v>34310</v>
      </c>
      <c r="BD55" s="116">
        <v>34150</v>
      </c>
      <c r="BE55" s="116">
        <v>34020</v>
      </c>
      <c r="BF55" s="116">
        <v>33940</v>
      </c>
    </row>
    <row r="56" spans="1:58" ht="12.75">
      <c r="A56" s="118" t="s">
        <v>356</v>
      </c>
      <c r="B56" s="11"/>
      <c r="C56" s="116">
        <v>30080</v>
      </c>
      <c r="D56" s="116">
        <v>30480</v>
      </c>
      <c r="E56" s="116">
        <v>31370</v>
      </c>
      <c r="F56" s="116">
        <v>31970</v>
      </c>
      <c r="G56" s="116">
        <v>31820</v>
      </c>
      <c r="H56" s="116">
        <v>31510</v>
      </c>
      <c r="I56" s="116">
        <v>30360</v>
      </c>
      <c r="J56" s="116">
        <v>29970</v>
      </c>
      <c r="K56" s="116">
        <v>29730</v>
      </c>
      <c r="L56" s="116">
        <v>29980</v>
      </c>
      <c r="M56" s="116">
        <v>30430</v>
      </c>
      <c r="N56" s="116">
        <v>30210</v>
      </c>
      <c r="O56" s="116">
        <v>30820</v>
      </c>
      <c r="P56" s="116">
        <v>30530</v>
      </c>
      <c r="Q56" s="116">
        <v>29330</v>
      </c>
      <c r="R56" s="116">
        <v>28360</v>
      </c>
      <c r="S56" s="116">
        <v>27620</v>
      </c>
      <c r="T56" s="116">
        <v>26950</v>
      </c>
      <c r="U56" s="116">
        <v>26930</v>
      </c>
      <c r="V56" s="116">
        <v>26670</v>
      </c>
      <c r="W56" s="116">
        <v>27480</v>
      </c>
      <c r="X56" s="116">
        <v>28290</v>
      </c>
      <c r="Y56" s="116">
        <v>29100</v>
      </c>
      <c r="Z56" s="116">
        <v>29880</v>
      </c>
      <c r="AA56" s="116">
        <v>30590</v>
      </c>
      <c r="AB56" s="116">
        <v>30480</v>
      </c>
      <c r="AC56" s="116">
        <v>30320</v>
      </c>
      <c r="AD56" s="116">
        <v>30500</v>
      </c>
      <c r="AE56" s="116">
        <v>31030</v>
      </c>
      <c r="AF56" s="116">
        <v>32120</v>
      </c>
      <c r="AG56" s="116">
        <v>33030</v>
      </c>
      <c r="AH56" s="116">
        <v>34040</v>
      </c>
      <c r="AI56" s="116">
        <v>35180</v>
      </c>
      <c r="AJ56" s="116">
        <v>34580</v>
      </c>
      <c r="AK56" s="116">
        <v>34320</v>
      </c>
      <c r="AL56" s="116">
        <v>33700</v>
      </c>
      <c r="AM56" s="116">
        <v>33740</v>
      </c>
      <c r="AN56" s="116">
        <v>33400</v>
      </c>
      <c r="AO56" s="116">
        <v>32270</v>
      </c>
      <c r="AP56" s="116">
        <v>32510</v>
      </c>
      <c r="AQ56" s="116">
        <v>32170</v>
      </c>
      <c r="AR56" s="116">
        <v>33030</v>
      </c>
      <c r="AS56" s="116">
        <v>32560</v>
      </c>
      <c r="AT56" s="116">
        <v>31400</v>
      </c>
      <c r="AU56" s="116">
        <v>31930</v>
      </c>
      <c r="AV56" s="116">
        <v>32740</v>
      </c>
      <c r="AW56" s="116">
        <v>32710</v>
      </c>
      <c r="AX56" s="116">
        <v>33540</v>
      </c>
      <c r="AY56" s="116">
        <v>35000</v>
      </c>
      <c r="AZ56" s="116">
        <v>35150</v>
      </c>
      <c r="BA56" s="116">
        <v>35010</v>
      </c>
      <c r="BB56" s="116">
        <v>34720</v>
      </c>
      <c r="BC56" s="116">
        <v>34480</v>
      </c>
      <c r="BD56" s="116">
        <v>34280</v>
      </c>
      <c r="BE56" s="116">
        <v>34110</v>
      </c>
      <c r="BF56" s="116">
        <v>33990</v>
      </c>
    </row>
    <row r="57" spans="1:58" ht="12.75">
      <c r="A57" s="118" t="s">
        <v>357</v>
      </c>
      <c r="B57" s="11"/>
      <c r="C57" s="116">
        <v>28610</v>
      </c>
      <c r="D57" s="116">
        <v>30000</v>
      </c>
      <c r="E57" s="116">
        <v>30390</v>
      </c>
      <c r="F57" s="116">
        <v>31290</v>
      </c>
      <c r="G57" s="116">
        <v>31890</v>
      </c>
      <c r="H57" s="116">
        <v>31740</v>
      </c>
      <c r="I57" s="116">
        <v>31440</v>
      </c>
      <c r="J57" s="116">
        <v>30290</v>
      </c>
      <c r="K57" s="116">
        <v>29910</v>
      </c>
      <c r="L57" s="116">
        <v>29670</v>
      </c>
      <c r="M57" s="116">
        <v>29920</v>
      </c>
      <c r="N57" s="116">
        <v>30370</v>
      </c>
      <c r="O57" s="116">
        <v>30150</v>
      </c>
      <c r="P57" s="116">
        <v>30760</v>
      </c>
      <c r="Q57" s="116">
        <v>30470</v>
      </c>
      <c r="R57" s="116">
        <v>29270</v>
      </c>
      <c r="S57" s="116">
        <v>28300</v>
      </c>
      <c r="T57" s="116">
        <v>27560</v>
      </c>
      <c r="U57" s="116">
        <v>26900</v>
      </c>
      <c r="V57" s="116">
        <v>26880</v>
      </c>
      <c r="W57" s="116">
        <v>26620</v>
      </c>
      <c r="X57" s="116">
        <v>27430</v>
      </c>
      <c r="Y57" s="116">
        <v>28240</v>
      </c>
      <c r="Z57" s="116">
        <v>29040</v>
      </c>
      <c r="AA57" s="116">
        <v>29830</v>
      </c>
      <c r="AB57" s="116">
        <v>30540</v>
      </c>
      <c r="AC57" s="116">
        <v>30430</v>
      </c>
      <c r="AD57" s="116">
        <v>30270</v>
      </c>
      <c r="AE57" s="116">
        <v>30450</v>
      </c>
      <c r="AF57" s="116">
        <v>30980</v>
      </c>
      <c r="AG57" s="116">
        <v>32060</v>
      </c>
      <c r="AH57" s="116">
        <v>32980</v>
      </c>
      <c r="AI57" s="116">
        <v>33980</v>
      </c>
      <c r="AJ57" s="116">
        <v>35120</v>
      </c>
      <c r="AK57" s="116">
        <v>34530</v>
      </c>
      <c r="AL57" s="116">
        <v>34260</v>
      </c>
      <c r="AM57" s="116">
        <v>33650</v>
      </c>
      <c r="AN57" s="116">
        <v>33690</v>
      </c>
      <c r="AO57" s="116">
        <v>33350</v>
      </c>
      <c r="AP57" s="116">
        <v>32220</v>
      </c>
      <c r="AQ57" s="116">
        <v>32470</v>
      </c>
      <c r="AR57" s="116">
        <v>32120</v>
      </c>
      <c r="AS57" s="116">
        <v>32980</v>
      </c>
      <c r="AT57" s="116">
        <v>32510</v>
      </c>
      <c r="AU57" s="116">
        <v>31350</v>
      </c>
      <c r="AV57" s="116">
        <v>31880</v>
      </c>
      <c r="AW57" s="116">
        <v>32690</v>
      </c>
      <c r="AX57" s="116">
        <v>32670</v>
      </c>
      <c r="AY57" s="116">
        <v>33490</v>
      </c>
      <c r="AZ57" s="116">
        <v>34950</v>
      </c>
      <c r="BA57" s="116">
        <v>35100</v>
      </c>
      <c r="BB57" s="116">
        <v>34960</v>
      </c>
      <c r="BC57" s="116">
        <v>34670</v>
      </c>
      <c r="BD57" s="116">
        <v>34430</v>
      </c>
      <c r="BE57" s="116">
        <v>34230</v>
      </c>
      <c r="BF57" s="116">
        <v>34070</v>
      </c>
    </row>
    <row r="58" spans="1:58" ht="12.75">
      <c r="A58" s="118" t="s">
        <v>358</v>
      </c>
      <c r="B58" s="11"/>
      <c r="C58" s="116">
        <v>28400</v>
      </c>
      <c r="D58" s="116">
        <v>28520</v>
      </c>
      <c r="E58" s="116">
        <v>29890</v>
      </c>
      <c r="F58" s="116">
        <v>30290</v>
      </c>
      <c r="G58" s="116">
        <v>31200</v>
      </c>
      <c r="H58" s="116">
        <v>31800</v>
      </c>
      <c r="I58" s="116">
        <v>31650</v>
      </c>
      <c r="J58" s="116">
        <v>31350</v>
      </c>
      <c r="K58" s="116">
        <v>30200</v>
      </c>
      <c r="L58" s="116">
        <v>29820</v>
      </c>
      <c r="M58" s="116">
        <v>29580</v>
      </c>
      <c r="N58" s="116">
        <v>29840</v>
      </c>
      <c r="O58" s="116">
        <v>30290</v>
      </c>
      <c r="P58" s="116">
        <v>30070</v>
      </c>
      <c r="Q58" s="116">
        <v>30680</v>
      </c>
      <c r="R58" s="116">
        <v>30390</v>
      </c>
      <c r="S58" s="116">
        <v>29200</v>
      </c>
      <c r="T58" s="116">
        <v>28230</v>
      </c>
      <c r="U58" s="116">
        <v>27500</v>
      </c>
      <c r="V58" s="116">
        <v>26830</v>
      </c>
      <c r="W58" s="116">
        <v>26810</v>
      </c>
      <c r="X58" s="116">
        <v>26560</v>
      </c>
      <c r="Y58" s="116">
        <v>27370</v>
      </c>
      <c r="Z58" s="116">
        <v>28180</v>
      </c>
      <c r="AA58" s="116">
        <v>28980</v>
      </c>
      <c r="AB58" s="116">
        <v>29760</v>
      </c>
      <c r="AC58" s="116">
        <v>30470</v>
      </c>
      <c r="AD58" s="116">
        <v>30370</v>
      </c>
      <c r="AE58" s="116">
        <v>30200</v>
      </c>
      <c r="AF58" s="116">
        <v>30390</v>
      </c>
      <c r="AG58" s="116">
        <v>30920</v>
      </c>
      <c r="AH58" s="116">
        <v>32000</v>
      </c>
      <c r="AI58" s="116">
        <v>32910</v>
      </c>
      <c r="AJ58" s="116">
        <v>33910</v>
      </c>
      <c r="AK58" s="116">
        <v>35050</v>
      </c>
      <c r="AL58" s="116">
        <v>34460</v>
      </c>
      <c r="AM58" s="116">
        <v>34190</v>
      </c>
      <c r="AN58" s="116">
        <v>33580</v>
      </c>
      <c r="AO58" s="116">
        <v>33630</v>
      </c>
      <c r="AP58" s="116">
        <v>33280</v>
      </c>
      <c r="AQ58" s="116">
        <v>32150</v>
      </c>
      <c r="AR58" s="116">
        <v>32400</v>
      </c>
      <c r="AS58" s="116">
        <v>32060</v>
      </c>
      <c r="AT58" s="116">
        <v>32920</v>
      </c>
      <c r="AU58" s="116">
        <v>32450</v>
      </c>
      <c r="AV58" s="116">
        <v>31290</v>
      </c>
      <c r="AW58" s="116">
        <v>31820</v>
      </c>
      <c r="AX58" s="116">
        <v>32630</v>
      </c>
      <c r="AY58" s="116">
        <v>32600</v>
      </c>
      <c r="AZ58" s="116">
        <v>33430</v>
      </c>
      <c r="BA58" s="116">
        <v>34880</v>
      </c>
      <c r="BB58" s="116">
        <v>35030</v>
      </c>
      <c r="BC58" s="116">
        <v>34890</v>
      </c>
      <c r="BD58" s="116">
        <v>34610</v>
      </c>
      <c r="BE58" s="116">
        <v>34360</v>
      </c>
      <c r="BF58" s="116">
        <v>34160</v>
      </c>
    </row>
    <row r="59" spans="1:58" ht="12.75">
      <c r="A59" s="118" t="s">
        <v>359</v>
      </c>
      <c r="B59" s="11"/>
      <c r="C59" s="116">
        <v>27750</v>
      </c>
      <c r="D59" s="116">
        <v>28290</v>
      </c>
      <c r="E59" s="116">
        <v>28400</v>
      </c>
      <c r="F59" s="116">
        <v>29780</v>
      </c>
      <c r="G59" s="116">
        <v>30190</v>
      </c>
      <c r="H59" s="116">
        <v>31090</v>
      </c>
      <c r="I59" s="116">
        <v>31690</v>
      </c>
      <c r="J59" s="116">
        <v>31550</v>
      </c>
      <c r="K59" s="116">
        <v>31250</v>
      </c>
      <c r="L59" s="116">
        <v>30100</v>
      </c>
      <c r="M59" s="116">
        <v>29730</v>
      </c>
      <c r="N59" s="116">
        <v>29490</v>
      </c>
      <c r="O59" s="116">
        <v>29740</v>
      </c>
      <c r="P59" s="116">
        <v>30190</v>
      </c>
      <c r="Q59" s="116">
        <v>29980</v>
      </c>
      <c r="R59" s="116">
        <v>30590</v>
      </c>
      <c r="S59" s="116">
        <v>30300</v>
      </c>
      <c r="T59" s="116">
        <v>29120</v>
      </c>
      <c r="U59" s="116">
        <v>28150</v>
      </c>
      <c r="V59" s="116">
        <v>27420</v>
      </c>
      <c r="W59" s="116">
        <v>26750</v>
      </c>
      <c r="X59" s="116">
        <v>26740</v>
      </c>
      <c r="Y59" s="116">
        <v>26490</v>
      </c>
      <c r="Z59" s="116">
        <v>27290</v>
      </c>
      <c r="AA59" s="116">
        <v>28100</v>
      </c>
      <c r="AB59" s="116">
        <v>28900</v>
      </c>
      <c r="AC59" s="116">
        <v>29680</v>
      </c>
      <c r="AD59" s="116">
        <v>30390</v>
      </c>
      <c r="AE59" s="116">
        <v>30290</v>
      </c>
      <c r="AF59" s="116">
        <v>30130</v>
      </c>
      <c r="AG59" s="116">
        <v>30310</v>
      </c>
      <c r="AH59" s="116">
        <v>30840</v>
      </c>
      <c r="AI59" s="116">
        <v>31920</v>
      </c>
      <c r="AJ59" s="116">
        <v>32830</v>
      </c>
      <c r="AK59" s="116">
        <v>33830</v>
      </c>
      <c r="AL59" s="116">
        <v>34970</v>
      </c>
      <c r="AM59" s="116">
        <v>34370</v>
      </c>
      <c r="AN59" s="116">
        <v>34110</v>
      </c>
      <c r="AO59" s="116">
        <v>33500</v>
      </c>
      <c r="AP59" s="116">
        <v>33550</v>
      </c>
      <c r="AQ59" s="116">
        <v>33210</v>
      </c>
      <c r="AR59" s="116">
        <v>32080</v>
      </c>
      <c r="AS59" s="116">
        <v>32330</v>
      </c>
      <c r="AT59" s="116">
        <v>31980</v>
      </c>
      <c r="AU59" s="116">
        <v>32840</v>
      </c>
      <c r="AV59" s="116">
        <v>32370</v>
      </c>
      <c r="AW59" s="116">
        <v>31220</v>
      </c>
      <c r="AX59" s="116">
        <v>31750</v>
      </c>
      <c r="AY59" s="116">
        <v>32550</v>
      </c>
      <c r="AZ59" s="116">
        <v>32530</v>
      </c>
      <c r="BA59" s="116">
        <v>33350</v>
      </c>
      <c r="BB59" s="116">
        <v>34810</v>
      </c>
      <c r="BC59" s="116">
        <v>34950</v>
      </c>
      <c r="BD59" s="116">
        <v>34820</v>
      </c>
      <c r="BE59" s="116">
        <v>34530</v>
      </c>
      <c r="BF59" s="116">
        <v>34290</v>
      </c>
    </row>
    <row r="60" spans="1:58" ht="12.75">
      <c r="A60" s="118" t="s">
        <v>360</v>
      </c>
      <c r="B60" s="11"/>
      <c r="C60" s="116">
        <v>26550</v>
      </c>
      <c r="D60" s="116">
        <v>27630</v>
      </c>
      <c r="E60" s="116">
        <v>28160</v>
      </c>
      <c r="F60" s="116">
        <v>28280</v>
      </c>
      <c r="G60" s="116">
        <v>29670</v>
      </c>
      <c r="H60" s="116">
        <v>30070</v>
      </c>
      <c r="I60" s="116">
        <v>30970</v>
      </c>
      <c r="J60" s="116">
        <v>31580</v>
      </c>
      <c r="K60" s="116">
        <v>31430</v>
      </c>
      <c r="L60" s="116">
        <v>31130</v>
      </c>
      <c r="M60" s="116">
        <v>30000</v>
      </c>
      <c r="N60" s="116">
        <v>29620</v>
      </c>
      <c r="O60" s="116">
        <v>29390</v>
      </c>
      <c r="P60" s="116">
        <v>29640</v>
      </c>
      <c r="Q60" s="116">
        <v>30090</v>
      </c>
      <c r="R60" s="116">
        <v>29880</v>
      </c>
      <c r="S60" s="116">
        <v>30490</v>
      </c>
      <c r="T60" s="116">
        <v>30200</v>
      </c>
      <c r="U60" s="116">
        <v>29020</v>
      </c>
      <c r="V60" s="116">
        <v>28060</v>
      </c>
      <c r="W60" s="116">
        <v>27330</v>
      </c>
      <c r="X60" s="116">
        <v>26670</v>
      </c>
      <c r="Y60" s="116">
        <v>26650</v>
      </c>
      <c r="Z60" s="116">
        <v>26400</v>
      </c>
      <c r="AA60" s="116">
        <v>27210</v>
      </c>
      <c r="AB60" s="116">
        <v>28010</v>
      </c>
      <c r="AC60" s="116">
        <v>28810</v>
      </c>
      <c r="AD60" s="116">
        <v>29590</v>
      </c>
      <c r="AE60" s="116">
        <v>30300</v>
      </c>
      <c r="AF60" s="116">
        <v>30200</v>
      </c>
      <c r="AG60" s="116">
        <v>30040</v>
      </c>
      <c r="AH60" s="116">
        <v>30220</v>
      </c>
      <c r="AI60" s="116">
        <v>30750</v>
      </c>
      <c r="AJ60" s="116">
        <v>31830</v>
      </c>
      <c r="AK60" s="116">
        <v>32740</v>
      </c>
      <c r="AL60" s="116">
        <v>33740</v>
      </c>
      <c r="AM60" s="116">
        <v>34870</v>
      </c>
      <c r="AN60" s="116">
        <v>34280</v>
      </c>
      <c r="AO60" s="116">
        <v>34020</v>
      </c>
      <c r="AP60" s="116">
        <v>33420</v>
      </c>
      <c r="AQ60" s="116">
        <v>33460</v>
      </c>
      <c r="AR60" s="116">
        <v>33120</v>
      </c>
      <c r="AS60" s="116">
        <v>31990</v>
      </c>
      <c r="AT60" s="116">
        <v>32240</v>
      </c>
      <c r="AU60" s="116">
        <v>31900</v>
      </c>
      <c r="AV60" s="116">
        <v>32760</v>
      </c>
      <c r="AW60" s="116">
        <v>32290</v>
      </c>
      <c r="AX60" s="116">
        <v>31140</v>
      </c>
      <c r="AY60" s="116">
        <v>31660</v>
      </c>
      <c r="AZ60" s="116">
        <v>32470</v>
      </c>
      <c r="BA60" s="116">
        <v>32440</v>
      </c>
      <c r="BB60" s="116">
        <v>33270</v>
      </c>
      <c r="BC60" s="116">
        <v>34720</v>
      </c>
      <c r="BD60" s="116">
        <v>34860</v>
      </c>
      <c r="BE60" s="116">
        <v>34730</v>
      </c>
      <c r="BF60" s="116">
        <v>34440</v>
      </c>
    </row>
    <row r="61" spans="1:58" ht="12.75">
      <c r="A61" s="118" t="s">
        <v>361</v>
      </c>
      <c r="B61" s="11"/>
      <c r="C61" s="116">
        <v>25810</v>
      </c>
      <c r="D61" s="116">
        <v>26430</v>
      </c>
      <c r="E61" s="116">
        <v>27500</v>
      </c>
      <c r="F61" s="116">
        <v>28030</v>
      </c>
      <c r="G61" s="116">
        <v>28160</v>
      </c>
      <c r="H61" s="116">
        <v>29540</v>
      </c>
      <c r="I61" s="116">
        <v>29950</v>
      </c>
      <c r="J61" s="116">
        <v>30850</v>
      </c>
      <c r="K61" s="116">
        <v>31450</v>
      </c>
      <c r="L61" s="116">
        <v>31310</v>
      </c>
      <c r="M61" s="116">
        <v>31010</v>
      </c>
      <c r="N61" s="116">
        <v>29880</v>
      </c>
      <c r="O61" s="116">
        <v>29510</v>
      </c>
      <c r="P61" s="116">
        <v>29280</v>
      </c>
      <c r="Q61" s="116">
        <v>29530</v>
      </c>
      <c r="R61" s="116">
        <v>29980</v>
      </c>
      <c r="S61" s="116">
        <v>29770</v>
      </c>
      <c r="T61" s="116">
        <v>30380</v>
      </c>
      <c r="U61" s="116">
        <v>30090</v>
      </c>
      <c r="V61" s="116">
        <v>28920</v>
      </c>
      <c r="W61" s="116">
        <v>27960</v>
      </c>
      <c r="X61" s="116">
        <v>27230</v>
      </c>
      <c r="Y61" s="116">
        <v>26570</v>
      </c>
      <c r="Z61" s="116">
        <v>26560</v>
      </c>
      <c r="AA61" s="116">
        <v>26310</v>
      </c>
      <c r="AB61" s="116">
        <v>27120</v>
      </c>
      <c r="AC61" s="116">
        <v>27920</v>
      </c>
      <c r="AD61" s="116">
        <v>28720</v>
      </c>
      <c r="AE61" s="116">
        <v>29500</v>
      </c>
      <c r="AF61" s="116">
        <v>30200</v>
      </c>
      <c r="AG61" s="116">
        <v>30100</v>
      </c>
      <c r="AH61" s="116">
        <v>29940</v>
      </c>
      <c r="AI61" s="116">
        <v>30130</v>
      </c>
      <c r="AJ61" s="116">
        <v>30660</v>
      </c>
      <c r="AK61" s="116">
        <v>31730</v>
      </c>
      <c r="AL61" s="116">
        <v>32640</v>
      </c>
      <c r="AM61" s="116">
        <v>33640</v>
      </c>
      <c r="AN61" s="116">
        <v>34770</v>
      </c>
      <c r="AO61" s="116">
        <v>34180</v>
      </c>
      <c r="AP61" s="116">
        <v>33920</v>
      </c>
      <c r="AQ61" s="116">
        <v>33320</v>
      </c>
      <c r="AR61" s="116">
        <v>33360</v>
      </c>
      <c r="AS61" s="116">
        <v>33020</v>
      </c>
      <c r="AT61" s="116">
        <v>31900</v>
      </c>
      <c r="AU61" s="116">
        <v>32150</v>
      </c>
      <c r="AV61" s="116">
        <v>31800</v>
      </c>
      <c r="AW61" s="116">
        <v>32660</v>
      </c>
      <c r="AX61" s="116">
        <v>32190</v>
      </c>
      <c r="AY61" s="116">
        <v>31050</v>
      </c>
      <c r="AZ61" s="116">
        <v>31570</v>
      </c>
      <c r="BA61" s="116">
        <v>32380</v>
      </c>
      <c r="BB61" s="116">
        <v>32350</v>
      </c>
      <c r="BC61" s="116">
        <v>33170</v>
      </c>
      <c r="BD61" s="116">
        <v>34620</v>
      </c>
      <c r="BE61" s="116">
        <v>34770</v>
      </c>
      <c r="BF61" s="116">
        <v>34630</v>
      </c>
    </row>
    <row r="62" spans="1:58" ht="12.75">
      <c r="A62" s="118" t="s">
        <v>362</v>
      </c>
      <c r="B62" s="11"/>
      <c r="C62" s="116">
        <v>25070</v>
      </c>
      <c r="D62" s="116">
        <v>25690</v>
      </c>
      <c r="E62" s="116">
        <v>26290</v>
      </c>
      <c r="F62" s="116">
        <v>27360</v>
      </c>
      <c r="G62" s="116">
        <v>27900</v>
      </c>
      <c r="H62" s="116">
        <v>28030</v>
      </c>
      <c r="I62" s="116">
        <v>29410</v>
      </c>
      <c r="J62" s="116">
        <v>29820</v>
      </c>
      <c r="K62" s="116">
        <v>30720</v>
      </c>
      <c r="L62" s="116">
        <v>31320</v>
      </c>
      <c r="M62" s="116">
        <v>31180</v>
      </c>
      <c r="N62" s="116">
        <v>30890</v>
      </c>
      <c r="O62" s="116">
        <v>29760</v>
      </c>
      <c r="P62" s="116">
        <v>29390</v>
      </c>
      <c r="Q62" s="116">
        <v>29160</v>
      </c>
      <c r="R62" s="116">
        <v>29420</v>
      </c>
      <c r="S62" s="116">
        <v>29870</v>
      </c>
      <c r="T62" s="116">
        <v>29660</v>
      </c>
      <c r="U62" s="116">
        <v>30270</v>
      </c>
      <c r="V62" s="116">
        <v>29980</v>
      </c>
      <c r="W62" s="116">
        <v>28810</v>
      </c>
      <c r="X62" s="116">
        <v>27860</v>
      </c>
      <c r="Y62" s="116">
        <v>27130</v>
      </c>
      <c r="Z62" s="116">
        <v>26480</v>
      </c>
      <c r="AA62" s="116">
        <v>26460</v>
      </c>
      <c r="AB62" s="116">
        <v>26220</v>
      </c>
      <c r="AC62" s="116">
        <v>27020</v>
      </c>
      <c r="AD62" s="116">
        <v>27820</v>
      </c>
      <c r="AE62" s="116">
        <v>28620</v>
      </c>
      <c r="AF62" s="116">
        <v>29400</v>
      </c>
      <c r="AG62" s="116">
        <v>30100</v>
      </c>
      <c r="AH62" s="116">
        <v>30000</v>
      </c>
      <c r="AI62" s="116">
        <v>29850</v>
      </c>
      <c r="AJ62" s="116">
        <v>30030</v>
      </c>
      <c r="AK62" s="116">
        <v>30560</v>
      </c>
      <c r="AL62" s="116">
        <v>31630</v>
      </c>
      <c r="AM62" s="116">
        <v>32540</v>
      </c>
      <c r="AN62" s="116">
        <v>33530</v>
      </c>
      <c r="AO62" s="116">
        <v>34670</v>
      </c>
      <c r="AP62" s="116">
        <v>34080</v>
      </c>
      <c r="AQ62" s="116">
        <v>33820</v>
      </c>
      <c r="AR62" s="116">
        <v>33220</v>
      </c>
      <c r="AS62" s="116">
        <v>33260</v>
      </c>
      <c r="AT62" s="116">
        <v>32920</v>
      </c>
      <c r="AU62" s="116">
        <v>31800</v>
      </c>
      <c r="AV62" s="116">
        <v>32050</v>
      </c>
      <c r="AW62" s="116">
        <v>31710</v>
      </c>
      <c r="AX62" s="116">
        <v>32570</v>
      </c>
      <c r="AY62" s="116">
        <v>32100</v>
      </c>
      <c r="AZ62" s="116">
        <v>30950</v>
      </c>
      <c r="BA62" s="116">
        <v>31480</v>
      </c>
      <c r="BB62" s="116">
        <v>32280</v>
      </c>
      <c r="BC62" s="116">
        <v>32250</v>
      </c>
      <c r="BD62" s="116">
        <v>33080</v>
      </c>
      <c r="BE62" s="116">
        <v>34520</v>
      </c>
      <c r="BF62" s="116">
        <v>34660</v>
      </c>
    </row>
    <row r="63" spans="1:58" ht="12.75">
      <c r="A63" s="118" t="s">
        <v>363</v>
      </c>
      <c r="B63" s="11"/>
      <c r="C63" s="116">
        <v>24750</v>
      </c>
      <c r="D63" s="116">
        <v>24940</v>
      </c>
      <c r="E63" s="116">
        <v>25540</v>
      </c>
      <c r="F63" s="116">
        <v>26160</v>
      </c>
      <c r="G63" s="116">
        <v>27230</v>
      </c>
      <c r="H63" s="116">
        <v>27770</v>
      </c>
      <c r="I63" s="116">
        <v>27900</v>
      </c>
      <c r="J63" s="116">
        <v>29280</v>
      </c>
      <c r="K63" s="116">
        <v>29680</v>
      </c>
      <c r="L63" s="116">
        <v>30580</v>
      </c>
      <c r="M63" s="116">
        <v>31180</v>
      </c>
      <c r="N63" s="116">
        <v>31040</v>
      </c>
      <c r="O63" s="116">
        <v>30760</v>
      </c>
      <c r="P63" s="116">
        <v>29640</v>
      </c>
      <c r="Q63" s="116">
        <v>29270</v>
      </c>
      <c r="R63" s="116">
        <v>29040</v>
      </c>
      <c r="S63" s="116">
        <v>29300</v>
      </c>
      <c r="T63" s="116">
        <v>29750</v>
      </c>
      <c r="U63" s="116">
        <v>29540</v>
      </c>
      <c r="V63" s="116">
        <v>30150</v>
      </c>
      <c r="W63" s="116">
        <v>29870</v>
      </c>
      <c r="X63" s="116">
        <v>28700</v>
      </c>
      <c r="Y63" s="116">
        <v>27750</v>
      </c>
      <c r="Z63" s="116">
        <v>27030</v>
      </c>
      <c r="AA63" s="116">
        <v>26380</v>
      </c>
      <c r="AB63" s="116">
        <v>26360</v>
      </c>
      <c r="AC63" s="116">
        <v>26120</v>
      </c>
      <c r="AD63" s="116">
        <v>26920</v>
      </c>
      <c r="AE63" s="116">
        <v>27720</v>
      </c>
      <c r="AF63" s="116">
        <v>28520</v>
      </c>
      <c r="AG63" s="116">
        <v>29290</v>
      </c>
      <c r="AH63" s="116">
        <v>30000</v>
      </c>
      <c r="AI63" s="116">
        <v>29900</v>
      </c>
      <c r="AJ63" s="116">
        <v>29740</v>
      </c>
      <c r="AK63" s="116">
        <v>29930</v>
      </c>
      <c r="AL63" s="116">
        <v>30450</v>
      </c>
      <c r="AM63" s="116">
        <v>31520</v>
      </c>
      <c r="AN63" s="116">
        <v>32430</v>
      </c>
      <c r="AO63" s="116">
        <v>33430</v>
      </c>
      <c r="AP63" s="116">
        <v>34560</v>
      </c>
      <c r="AQ63" s="116">
        <v>33970</v>
      </c>
      <c r="AR63" s="116">
        <v>33710</v>
      </c>
      <c r="AS63" s="116">
        <v>33110</v>
      </c>
      <c r="AT63" s="116">
        <v>33150</v>
      </c>
      <c r="AU63" s="116">
        <v>32820</v>
      </c>
      <c r="AV63" s="116">
        <v>31700</v>
      </c>
      <c r="AW63" s="116">
        <v>31950</v>
      </c>
      <c r="AX63" s="116">
        <v>31610</v>
      </c>
      <c r="AY63" s="116">
        <v>32460</v>
      </c>
      <c r="AZ63" s="116">
        <v>32000</v>
      </c>
      <c r="BA63" s="116">
        <v>30860</v>
      </c>
      <c r="BB63" s="116">
        <v>31380</v>
      </c>
      <c r="BC63" s="116">
        <v>32180</v>
      </c>
      <c r="BD63" s="116">
        <v>32150</v>
      </c>
      <c r="BE63" s="116">
        <v>32970</v>
      </c>
      <c r="BF63" s="116">
        <v>34410</v>
      </c>
    </row>
    <row r="64" spans="1:58" ht="12.75">
      <c r="A64" s="118" t="s">
        <v>364</v>
      </c>
      <c r="B64" s="11"/>
      <c r="C64" s="116">
        <v>24160</v>
      </c>
      <c r="D64" s="116">
        <v>24610</v>
      </c>
      <c r="E64" s="116">
        <v>24790</v>
      </c>
      <c r="F64" s="116">
        <v>25400</v>
      </c>
      <c r="G64" s="116">
        <v>26020</v>
      </c>
      <c r="H64" s="116">
        <v>27090</v>
      </c>
      <c r="I64" s="116">
        <v>27630</v>
      </c>
      <c r="J64" s="116">
        <v>27760</v>
      </c>
      <c r="K64" s="116">
        <v>29130</v>
      </c>
      <c r="L64" s="116">
        <v>29540</v>
      </c>
      <c r="M64" s="116">
        <v>30440</v>
      </c>
      <c r="N64" s="116">
        <v>31040</v>
      </c>
      <c r="O64" s="116">
        <v>30900</v>
      </c>
      <c r="P64" s="116">
        <v>30620</v>
      </c>
      <c r="Q64" s="116">
        <v>29500</v>
      </c>
      <c r="R64" s="116">
        <v>29140</v>
      </c>
      <c r="S64" s="116">
        <v>28920</v>
      </c>
      <c r="T64" s="116">
        <v>29170</v>
      </c>
      <c r="U64" s="116">
        <v>29620</v>
      </c>
      <c r="V64" s="116">
        <v>29420</v>
      </c>
      <c r="W64" s="116">
        <v>30030</v>
      </c>
      <c r="X64" s="116">
        <v>29750</v>
      </c>
      <c r="Y64" s="116">
        <v>28580</v>
      </c>
      <c r="Z64" s="116">
        <v>27640</v>
      </c>
      <c r="AA64" s="116">
        <v>26920</v>
      </c>
      <c r="AB64" s="116">
        <v>26270</v>
      </c>
      <c r="AC64" s="116">
        <v>26260</v>
      </c>
      <c r="AD64" s="116">
        <v>26020</v>
      </c>
      <c r="AE64" s="116">
        <v>26820</v>
      </c>
      <c r="AF64" s="116">
        <v>27620</v>
      </c>
      <c r="AG64" s="116">
        <v>28410</v>
      </c>
      <c r="AH64" s="116">
        <v>29180</v>
      </c>
      <c r="AI64" s="116">
        <v>29890</v>
      </c>
      <c r="AJ64" s="116">
        <v>29790</v>
      </c>
      <c r="AK64" s="116">
        <v>29640</v>
      </c>
      <c r="AL64" s="116">
        <v>29820</v>
      </c>
      <c r="AM64" s="116">
        <v>30350</v>
      </c>
      <c r="AN64" s="116">
        <v>31410</v>
      </c>
      <c r="AO64" s="116">
        <v>32320</v>
      </c>
      <c r="AP64" s="116">
        <v>33310</v>
      </c>
      <c r="AQ64" s="116">
        <v>34440</v>
      </c>
      <c r="AR64" s="116">
        <v>33850</v>
      </c>
      <c r="AS64" s="116">
        <v>33600</v>
      </c>
      <c r="AT64" s="116">
        <v>33000</v>
      </c>
      <c r="AU64" s="116">
        <v>33040</v>
      </c>
      <c r="AV64" s="116">
        <v>32710</v>
      </c>
      <c r="AW64" s="116">
        <v>31590</v>
      </c>
      <c r="AX64" s="116">
        <v>31840</v>
      </c>
      <c r="AY64" s="116">
        <v>31500</v>
      </c>
      <c r="AZ64" s="116">
        <v>32360</v>
      </c>
      <c r="BA64" s="116">
        <v>31890</v>
      </c>
      <c r="BB64" s="116">
        <v>30750</v>
      </c>
      <c r="BC64" s="116">
        <v>31270</v>
      </c>
      <c r="BD64" s="116">
        <v>32070</v>
      </c>
      <c r="BE64" s="116">
        <v>32050</v>
      </c>
      <c r="BF64" s="116">
        <v>32860</v>
      </c>
    </row>
    <row r="65" spans="1:58" ht="12.75">
      <c r="A65" s="118" t="s">
        <v>365</v>
      </c>
      <c r="B65" s="11"/>
      <c r="C65" s="116">
        <v>24180</v>
      </c>
      <c r="D65" s="116">
        <v>24020</v>
      </c>
      <c r="E65" s="116">
        <v>24460</v>
      </c>
      <c r="F65" s="116">
        <v>24650</v>
      </c>
      <c r="G65" s="116">
        <v>25260</v>
      </c>
      <c r="H65" s="116">
        <v>25880</v>
      </c>
      <c r="I65" s="116">
        <v>26950</v>
      </c>
      <c r="J65" s="116">
        <v>27490</v>
      </c>
      <c r="K65" s="116">
        <v>27620</v>
      </c>
      <c r="L65" s="116">
        <v>28990</v>
      </c>
      <c r="M65" s="116">
        <v>29400</v>
      </c>
      <c r="N65" s="116">
        <v>30290</v>
      </c>
      <c r="O65" s="116">
        <v>30890</v>
      </c>
      <c r="P65" s="116">
        <v>30760</v>
      </c>
      <c r="Q65" s="116">
        <v>30480</v>
      </c>
      <c r="R65" s="116">
        <v>29370</v>
      </c>
      <c r="S65" s="116">
        <v>29010</v>
      </c>
      <c r="T65" s="116">
        <v>28790</v>
      </c>
      <c r="U65" s="116">
        <v>29040</v>
      </c>
      <c r="V65" s="116">
        <v>29490</v>
      </c>
      <c r="W65" s="116">
        <v>29290</v>
      </c>
      <c r="X65" s="116">
        <v>29900</v>
      </c>
      <c r="Y65" s="116">
        <v>29620</v>
      </c>
      <c r="Z65" s="116">
        <v>28470</v>
      </c>
      <c r="AA65" s="116">
        <v>27520</v>
      </c>
      <c r="AB65" s="116">
        <v>26810</v>
      </c>
      <c r="AC65" s="116">
        <v>26160</v>
      </c>
      <c r="AD65" s="116">
        <v>26150</v>
      </c>
      <c r="AE65" s="116">
        <v>25910</v>
      </c>
      <c r="AF65" s="116">
        <v>26710</v>
      </c>
      <c r="AG65" s="116">
        <v>27510</v>
      </c>
      <c r="AH65" s="116">
        <v>28300</v>
      </c>
      <c r="AI65" s="116">
        <v>29070</v>
      </c>
      <c r="AJ65" s="116">
        <v>29780</v>
      </c>
      <c r="AK65" s="116">
        <v>29680</v>
      </c>
      <c r="AL65" s="116">
        <v>29520</v>
      </c>
      <c r="AM65" s="116">
        <v>29710</v>
      </c>
      <c r="AN65" s="116">
        <v>30230</v>
      </c>
      <c r="AO65" s="116">
        <v>31300</v>
      </c>
      <c r="AP65" s="116">
        <v>32200</v>
      </c>
      <c r="AQ65" s="116">
        <v>33190</v>
      </c>
      <c r="AR65" s="116">
        <v>34310</v>
      </c>
      <c r="AS65" s="116">
        <v>33730</v>
      </c>
      <c r="AT65" s="116">
        <v>33480</v>
      </c>
      <c r="AU65" s="116">
        <v>32880</v>
      </c>
      <c r="AV65" s="116">
        <v>32930</v>
      </c>
      <c r="AW65" s="116">
        <v>32590</v>
      </c>
      <c r="AX65" s="116">
        <v>31480</v>
      </c>
      <c r="AY65" s="116">
        <v>31730</v>
      </c>
      <c r="AZ65" s="116">
        <v>31390</v>
      </c>
      <c r="BA65" s="116">
        <v>32240</v>
      </c>
      <c r="BB65" s="116">
        <v>31780</v>
      </c>
      <c r="BC65" s="116">
        <v>30640</v>
      </c>
      <c r="BD65" s="116">
        <v>31170</v>
      </c>
      <c r="BE65" s="116">
        <v>31960</v>
      </c>
      <c r="BF65" s="116">
        <v>31940</v>
      </c>
    </row>
    <row r="66" spans="1:58" ht="12.75">
      <c r="A66" s="118" t="s">
        <v>366</v>
      </c>
      <c r="B66" s="11"/>
      <c r="C66" s="116">
        <v>23830</v>
      </c>
      <c r="D66" s="116">
        <v>24030</v>
      </c>
      <c r="E66" s="116">
        <v>23860</v>
      </c>
      <c r="F66" s="116">
        <v>24310</v>
      </c>
      <c r="G66" s="116">
        <v>24500</v>
      </c>
      <c r="H66" s="116">
        <v>25120</v>
      </c>
      <c r="I66" s="116">
        <v>25730</v>
      </c>
      <c r="J66" s="116">
        <v>26800</v>
      </c>
      <c r="K66" s="116">
        <v>27340</v>
      </c>
      <c r="L66" s="116">
        <v>27480</v>
      </c>
      <c r="M66" s="116">
        <v>28840</v>
      </c>
      <c r="N66" s="116">
        <v>29250</v>
      </c>
      <c r="O66" s="116">
        <v>30140</v>
      </c>
      <c r="P66" s="116">
        <v>30740</v>
      </c>
      <c r="Q66" s="116">
        <v>30610</v>
      </c>
      <c r="R66" s="116">
        <v>30330</v>
      </c>
      <c r="S66" s="116">
        <v>29230</v>
      </c>
      <c r="T66" s="116">
        <v>28870</v>
      </c>
      <c r="U66" s="116">
        <v>28660</v>
      </c>
      <c r="V66" s="116">
        <v>28910</v>
      </c>
      <c r="W66" s="116">
        <v>29360</v>
      </c>
      <c r="X66" s="116">
        <v>29170</v>
      </c>
      <c r="Y66" s="116">
        <v>29770</v>
      </c>
      <c r="Z66" s="116">
        <v>29490</v>
      </c>
      <c r="AA66" s="116">
        <v>28340</v>
      </c>
      <c r="AB66" s="116">
        <v>27410</v>
      </c>
      <c r="AC66" s="116">
        <v>26700</v>
      </c>
      <c r="AD66" s="116">
        <v>26060</v>
      </c>
      <c r="AE66" s="116">
        <v>26050</v>
      </c>
      <c r="AF66" s="116">
        <v>25800</v>
      </c>
      <c r="AG66" s="116">
        <v>26600</v>
      </c>
      <c r="AH66" s="116">
        <v>27400</v>
      </c>
      <c r="AI66" s="116">
        <v>28190</v>
      </c>
      <c r="AJ66" s="116">
        <v>28960</v>
      </c>
      <c r="AK66" s="116">
        <v>29660</v>
      </c>
      <c r="AL66" s="116">
        <v>29560</v>
      </c>
      <c r="AM66" s="116">
        <v>29410</v>
      </c>
      <c r="AN66" s="116">
        <v>29600</v>
      </c>
      <c r="AO66" s="116">
        <v>30120</v>
      </c>
      <c r="AP66" s="116">
        <v>31180</v>
      </c>
      <c r="AQ66" s="116">
        <v>32080</v>
      </c>
      <c r="AR66" s="116">
        <v>33070</v>
      </c>
      <c r="AS66" s="116">
        <v>34190</v>
      </c>
      <c r="AT66" s="116">
        <v>33610</v>
      </c>
      <c r="AU66" s="116">
        <v>33360</v>
      </c>
      <c r="AV66" s="116">
        <v>32760</v>
      </c>
      <c r="AW66" s="116">
        <v>32810</v>
      </c>
      <c r="AX66" s="116">
        <v>32480</v>
      </c>
      <c r="AY66" s="116">
        <v>31370</v>
      </c>
      <c r="AZ66" s="116">
        <v>31620</v>
      </c>
      <c r="BA66" s="116">
        <v>31280</v>
      </c>
      <c r="BB66" s="116">
        <v>32130</v>
      </c>
      <c r="BC66" s="116">
        <v>31670</v>
      </c>
      <c r="BD66" s="116">
        <v>30540</v>
      </c>
      <c r="BE66" s="116">
        <v>31050</v>
      </c>
      <c r="BF66" s="116">
        <v>31850</v>
      </c>
    </row>
    <row r="67" spans="1:58" ht="12.75">
      <c r="A67" s="118" t="s">
        <v>367</v>
      </c>
      <c r="B67" s="11"/>
      <c r="C67" s="116">
        <v>23890</v>
      </c>
      <c r="D67" s="116">
        <v>23680</v>
      </c>
      <c r="E67" s="116">
        <v>23870</v>
      </c>
      <c r="F67" s="116">
        <v>23710</v>
      </c>
      <c r="G67" s="116">
        <v>24160</v>
      </c>
      <c r="H67" s="116">
        <v>24360</v>
      </c>
      <c r="I67" s="116">
        <v>24970</v>
      </c>
      <c r="J67" s="116">
        <v>25590</v>
      </c>
      <c r="K67" s="116">
        <v>26650</v>
      </c>
      <c r="L67" s="116">
        <v>27190</v>
      </c>
      <c r="M67" s="116">
        <v>27330</v>
      </c>
      <c r="N67" s="116">
        <v>28690</v>
      </c>
      <c r="O67" s="116">
        <v>29100</v>
      </c>
      <c r="P67" s="116">
        <v>29990</v>
      </c>
      <c r="Q67" s="116">
        <v>30590</v>
      </c>
      <c r="R67" s="116">
        <v>30460</v>
      </c>
      <c r="S67" s="116">
        <v>30180</v>
      </c>
      <c r="T67" s="116">
        <v>29090</v>
      </c>
      <c r="U67" s="116">
        <v>28740</v>
      </c>
      <c r="V67" s="116">
        <v>28520</v>
      </c>
      <c r="W67" s="116">
        <v>28780</v>
      </c>
      <c r="X67" s="116">
        <v>29230</v>
      </c>
      <c r="Y67" s="116">
        <v>29030</v>
      </c>
      <c r="Z67" s="116">
        <v>29640</v>
      </c>
      <c r="AA67" s="116">
        <v>29370</v>
      </c>
      <c r="AB67" s="116">
        <v>28220</v>
      </c>
      <c r="AC67" s="116">
        <v>27290</v>
      </c>
      <c r="AD67" s="116">
        <v>26580</v>
      </c>
      <c r="AE67" s="116">
        <v>25950</v>
      </c>
      <c r="AF67" s="116">
        <v>25940</v>
      </c>
      <c r="AG67" s="116">
        <v>25700</v>
      </c>
      <c r="AH67" s="116">
        <v>26490</v>
      </c>
      <c r="AI67" s="116">
        <v>27290</v>
      </c>
      <c r="AJ67" s="116">
        <v>28080</v>
      </c>
      <c r="AK67" s="116">
        <v>28840</v>
      </c>
      <c r="AL67" s="116">
        <v>29540</v>
      </c>
      <c r="AM67" s="116">
        <v>29450</v>
      </c>
      <c r="AN67" s="116">
        <v>29300</v>
      </c>
      <c r="AO67" s="116">
        <v>29480</v>
      </c>
      <c r="AP67" s="116">
        <v>30000</v>
      </c>
      <c r="AQ67" s="116">
        <v>31060</v>
      </c>
      <c r="AR67" s="116">
        <v>31960</v>
      </c>
      <c r="AS67" s="116">
        <v>32950</v>
      </c>
      <c r="AT67" s="116">
        <v>34060</v>
      </c>
      <c r="AU67" s="116">
        <v>33490</v>
      </c>
      <c r="AV67" s="116">
        <v>33230</v>
      </c>
      <c r="AW67" s="116">
        <v>32640</v>
      </c>
      <c r="AX67" s="116">
        <v>32690</v>
      </c>
      <c r="AY67" s="116">
        <v>32360</v>
      </c>
      <c r="AZ67" s="116">
        <v>31260</v>
      </c>
      <c r="BA67" s="116">
        <v>31500</v>
      </c>
      <c r="BB67" s="116">
        <v>31160</v>
      </c>
      <c r="BC67" s="116">
        <v>32010</v>
      </c>
      <c r="BD67" s="116">
        <v>31550</v>
      </c>
      <c r="BE67" s="116">
        <v>30430</v>
      </c>
      <c r="BF67" s="116">
        <v>30940</v>
      </c>
    </row>
    <row r="68" spans="1:58" ht="12.75">
      <c r="A68" s="118" t="s">
        <v>368</v>
      </c>
      <c r="B68" s="11"/>
      <c r="C68" s="116">
        <v>24020</v>
      </c>
      <c r="D68" s="116">
        <v>23730</v>
      </c>
      <c r="E68" s="116">
        <v>23520</v>
      </c>
      <c r="F68" s="116">
        <v>23710</v>
      </c>
      <c r="G68" s="116">
        <v>23570</v>
      </c>
      <c r="H68" s="116">
        <v>24020</v>
      </c>
      <c r="I68" s="116">
        <v>24210</v>
      </c>
      <c r="J68" s="116">
        <v>24830</v>
      </c>
      <c r="K68" s="116">
        <v>25440</v>
      </c>
      <c r="L68" s="116">
        <v>26500</v>
      </c>
      <c r="M68" s="116">
        <v>27040</v>
      </c>
      <c r="N68" s="116">
        <v>27180</v>
      </c>
      <c r="O68" s="116">
        <v>28530</v>
      </c>
      <c r="P68" s="116">
        <v>28940</v>
      </c>
      <c r="Q68" s="116">
        <v>29830</v>
      </c>
      <c r="R68" s="116">
        <v>30430</v>
      </c>
      <c r="S68" s="116">
        <v>30310</v>
      </c>
      <c r="T68" s="116">
        <v>30030</v>
      </c>
      <c r="U68" s="116">
        <v>28950</v>
      </c>
      <c r="V68" s="116">
        <v>28600</v>
      </c>
      <c r="W68" s="116">
        <v>28390</v>
      </c>
      <c r="X68" s="116">
        <v>28640</v>
      </c>
      <c r="Y68" s="116">
        <v>29090</v>
      </c>
      <c r="Z68" s="116">
        <v>28900</v>
      </c>
      <c r="AA68" s="116">
        <v>29500</v>
      </c>
      <c r="AB68" s="116">
        <v>29230</v>
      </c>
      <c r="AC68" s="116">
        <v>28100</v>
      </c>
      <c r="AD68" s="116">
        <v>27170</v>
      </c>
      <c r="AE68" s="116">
        <v>26470</v>
      </c>
      <c r="AF68" s="116">
        <v>25840</v>
      </c>
      <c r="AG68" s="116">
        <v>25830</v>
      </c>
      <c r="AH68" s="116">
        <v>25590</v>
      </c>
      <c r="AI68" s="116">
        <v>26380</v>
      </c>
      <c r="AJ68" s="116">
        <v>27180</v>
      </c>
      <c r="AK68" s="116">
        <v>27960</v>
      </c>
      <c r="AL68" s="116">
        <v>28730</v>
      </c>
      <c r="AM68" s="116">
        <v>29430</v>
      </c>
      <c r="AN68" s="116">
        <v>29330</v>
      </c>
      <c r="AO68" s="116">
        <v>29180</v>
      </c>
      <c r="AP68" s="116">
        <v>29370</v>
      </c>
      <c r="AQ68" s="116">
        <v>29890</v>
      </c>
      <c r="AR68" s="116">
        <v>30940</v>
      </c>
      <c r="AS68" s="116">
        <v>31840</v>
      </c>
      <c r="AT68" s="116">
        <v>32820</v>
      </c>
      <c r="AU68" s="116">
        <v>33930</v>
      </c>
      <c r="AV68" s="116">
        <v>33360</v>
      </c>
      <c r="AW68" s="116">
        <v>33110</v>
      </c>
      <c r="AX68" s="116">
        <v>32520</v>
      </c>
      <c r="AY68" s="116">
        <v>32570</v>
      </c>
      <c r="AZ68" s="116">
        <v>32240</v>
      </c>
      <c r="BA68" s="116">
        <v>31140</v>
      </c>
      <c r="BB68" s="116">
        <v>31380</v>
      </c>
      <c r="BC68" s="116">
        <v>31050</v>
      </c>
      <c r="BD68" s="116">
        <v>31890</v>
      </c>
      <c r="BE68" s="116">
        <v>31430</v>
      </c>
      <c r="BF68" s="116">
        <v>30310</v>
      </c>
    </row>
    <row r="69" spans="1:58" ht="12.75">
      <c r="A69" s="118" t="s">
        <v>369</v>
      </c>
      <c r="B69" s="11"/>
      <c r="C69" s="116">
        <v>20160</v>
      </c>
      <c r="D69" s="116">
        <v>23850</v>
      </c>
      <c r="E69" s="116">
        <v>23570</v>
      </c>
      <c r="F69" s="116">
        <v>23360</v>
      </c>
      <c r="G69" s="116">
        <v>23560</v>
      </c>
      <c r="H69" s="116">
        <v>23420</v>
      </c>
      <c r="I69" s="116">
        <v>23870</v>
      </c>
      <c r="J69" s="116">
        <v>24060</v>
      </c>
      <c r="K69" s="116">
        <v>24680</v>
      </c>
      <c r="L69" s="116">
        <v>25290</v>
      </c>
      <c r="M69" s="116">
        <v>26340</v>
      </c>
      <c r="N69" s="116">
        <v>26880</v>
      </c>
      <c r="O69" s="116">
        <v>27030</v>
      </c>
      <c r="P69" s="116">
        <v>28370</v>
      </c>
      <c r="Q69" s="116">
        <v>28780</v>
      </c>
      <c r="R69" s="116">
        <v>29670</v>
      </c>
      <c r="S69" s="116">
        <v>30270</v>
      </c>
      <c r="T69" s="116">
        <v>30150</v>
      </c>
      <c r="U69" s="116">
        <v>29880</v>
      </c>
      <c r="V69" s="116">
        <v>28800</v>
      </c>
      <c r="W69" s="116">
        <v>28460</v>
      </c>
      <c r="X69" s="116">
        <v>28250</v>
      </c>
      <c r="Y69" s="116">
        <v>28510</v>
      </c>
      <c r="Z69" s="116">
        <v>28960</v>
      </c>
      <c r="AA69" s="116">
        <v>28770</v>
      </c>
      <c r="AB69" s="116">
        <v>29370</v>
      </c>
      <c r="AC69" s="116">
        <v>29100</v>
      </c>
      <c r="AD69" s="116">
        <v>27970</v>
      </c>
      <c r="AE69" s="116">
        <v>27050</v>
      </c>
      <c r="AF69" s="116">
        <v>26360</v>
      </c>
      <c r="AG69" s="116">
        <v>25730</v>
      </c>
      <c r="AH69" s="116">
        <v>25720</v>
      </c>
      <c r="AI69" s="116">
        <v>25490</v>
      </c>
      <c r="AJ69" s="116">
        <v>26280</v>
      </c>
      <c r="AK69" s="116">
        <v>27070</v>
      </c>
      <c r="AL69" s="116">
        <v>27850</v>
      </c>
      <c r="AM69" s="116">
        <v>28610</v>
      </c>
      <c r="AN69" s="116">
        <v>29310</v>
      </c>
      <c r="AO69" s="116">
        <v>29220</v>
      </c>
      <c r="AP69" s="116">
        <v>29070</v>
      </c>
      <c r="AQ69" s="116">
        <v>29250</v>
      </c>
      <c r="AR69" s="116">
        <v>29770</v>
      </c>
      <c r="AS69" s="116">
        <v>30820</v>
      </c>
      <c r="AT69" s="116">
        <v>31720</v>
      </c>
      <c r="AU69" s="116">
        <v>32690</v>
      </c>
      <c r="AV69" s="116">
        <v>33800</v>
      </c>
      <c r="AW69" s="116">
        <v>33230</v>
      </c>
      <c r="AX69" s="116">
        <v>32980</v>
      </c>
      <c r="AY69" s="116">
        <v>32390</v>
      </c>
      <c r="AZ69" s="116">
        <v>32440</v>
      </c>
      <c r="BA69" s="116">
        <v>32110</v>
      </c>
      <c r="BB69" s="116">
        <v>31020</v>
      </c>
      <c r="BC69" s="116">
        <v>31260</v>
      </c>
      <c r="BD69" s="116">
        <v>30930</v>
      </c>
      <c r="BE69" s="116">
        <v>31770</v>
      </c>
      <c r="BF69" s="116">
        <v>31310</v>
      </c>
    </row>
    <row r="70" spans="1:58" ht="12.75">
      <c r="A70" s="118" t="s">
        <v>370</v>
      </c>
      <c r="B70" s="11"/>
      <c r="C70" s="116">
        <v>19140</v>
      </c>
      <c r="D70" s="116">
        <v>20010</v>
      </c>
      <c r="E70" s="116">
        <v>23670</v>
      </c>
      <c r="F70" s="116">
        <v>23400</v>
      </c>
      <c r="G70" s="116">
        <v>23200</v>
      </c>
      <c r="H70" s="116">
        <v>23400</v>
      </c>
      <c r="I70" s="116">
        <v>23260</v>
      </c>
      <c r="J70" s="116">
        <v>23710</v>
      </c>
      <c r="K70" s="116">
        <v>23910</v>
      </c>
      <c r="L70" s="116">
        <v>24520</v>
      </c>
      <c r="M70" s="116">
        <v>25130</v>
      </c>
      <c r="N70" s="116">
        <v>26180</v>
      </c>
      <c r="O70" s="116">
        <v>26720</v>
      </c>
      <c r="P70" s="116">
        <v>26870</v>
      </c>
      <c r="Q70" s="116">
        <v>28210</v>
      </c>
      <c r="R70" s="116">
        <v>28620</v>
      </c>
      <c r="S70" s="116">
        <v>29500</v>
      </c>
      <c r="T70" s="116">
        <v>30100</v>
      </c>
      <c r="U70" s="116">
        <v>29980</v>
      </c>
      <c r="V70" s="116">
        <v>29720</v>
      </c>
      <c r="W70" s="116">
        <v>28650</v>
      </c>
      <c r="X70" s="116">
        <v>28310</v>
      </c>
      <c r="Y70" s="116">
        <v>28110</v>
      </c>
      <c r="Z70" s="116">
        <v>28360</v>
      </c>
      <c r="AA70" s="116">
        <v>28810</v>
      </c>
      <c r="AB70" s="116">
        <v>28630</v>
      </c>
      <c r="AC70" s="116">
        <v>29230</v>
      </c>
      <c r="AD70" s="116">
        <v>28960</v>
      </c>
      <c r="AE70" s="116">
        <v>27840</v>
      </c>
      <c r="AF70" s="116">
        <v>26930</v>
      </c>
      <c r="AG70" s="116">
        <v>26240</v>
      </c>
      <c r="AH70" s="116">
        <v>25610</v>
      </c>
      <c r="AI70" s="116">
        <v>25610</v>
      </c>
      <c r="AJ70" s="116">
        <v>25370</v>
      </c>
      <c r="AK70" s="116">
        <v>26160</v>
      </c>
      <c r="AL70" s="116">
        <v>26950</v>
      </c>
      <c r="AM70" s="116">
        <v>27730</v>
      </c>
      <c r="AN70" s="116">
        <v>28490</v>
      </c>
      <c r="AO70" s="116">
        <v>29180</v>
      </c>
      <c r="AP70" s="116">
        <v>29090</v>
      </c>
      <c r="AQ70" s="116">
        <v>28950</v>
      </c>
      <c r="AR70" s="116">
        <v>29130</v>
      </c>
      <c r="AS70" s="116">
        <v>29650</v>
      </c>
      <c r="AT70" s="116">
        <v>30690</v>
      </c>
      <c r="AU70" s="116">
        <v>31580</v>
      </c>
      <c r="AV70" s="116">
        <v>32560</v>
      </c>
      <c r="AW70" s="116">
        <v>33660</v>
      </c>
      <c r="AX70" s="116">
        <v>33090</v>
      </c>
      <c r="AY70" s="116">
        <v>32850</v>
      </c>
      <c r="AZ70" s="116">
        <v>32260</v>
      </c>
      <c r="BA70" s="116">
        <v>32310</v>
      </c>
      <c r="BB70" s="116">
        <v>31980</v>
      </c>
      <c r="BC70" s="116">
        <v>30900</v>
      </c>
      <c r="BD70" s="116">
        <v>31140</v>
      </c>
      <c r="BE70" s="116">
        <v>30810</v>
      </c>
      <c r="BF70" s="116">
        <v>31640</v>
      </c>
    </row>
    <row r="71" spans="1:58" ht="12.75">
      <c r="A71" s="118" t="s">
        <v>371</v>
      </c>
      <c r="B71" s="11"/>
      <c r="C71" s="116">
        <v>18400</v>
      </c>
      <c r="D71" s="116">
        <v>18990</v>
      </c>
      <c r="E71" s="116">
        <v>19850</v>
      </c>
      <c r="F71" s="116">
        <v>23490</v>
      </c>
      <c r="G71" s="116">
        <v>23220</v>
      </c>
      <c r="H71" s="116">
        <v>23020</v>
      </c>
      <c r="I71" s="116">
        <v>23230</v>
      </c>
      <c r="J71" s="116">
        <v>23100</v>
      </c>
      <c r="K71" s="116">
        <v>23550</v>
      </c>
      <c r="L71" s="116">
        <v>23750</v>
      </c>
      <c r="M71" s="116">
        <v>24360</v>
      </c>
      <c r="N71" s="116">
        <v>24970</v>
      </c>
      <c r="O71" s="116">
        <v>26010</v>
      </c>
      <c r="P71" s="116">
        <v>26550</v>
      </c>
      <c r="Q71" s="116">
        <v>26700</v>
      </c>
      <c r="R71" s="116">
        <v>28030</v>
      </c>
      <c r="S71" s="116">
        <v>28450</v>
      </c>
      <c r="T71" s="116">
        <v>29330</v>
      </c>
      <c r="U71" s="116">
        <v>29920</v>
      </c>
      <c r="V71" s="116">
        <v>29810</v>
      </c>
      <c r="W71" s="116">
        <v>29550</v>
      </c>
      <c r="X71" s="116">
        <v>28490</v>
      </c>
      <c r="Y71" s="116">
        <v>28160</v>
      </c>
      <c r="Z71" s="116">
        <v>27950</v>
      </c>
      <c r="AA71" s="116">
        <v>28210</v>
      </c>
      <c r="AB71" s="116">
        <v>28660</v>
      </c>
      <c r="AC71" s="116">
        <v>28480</v>
      </c>
      <c r="AD71" s="116">
        <v>29070</v>
      </c>
      <c r="AE71" s="116">
        <v>28820</v>
      </c>
      <c r="AF71" s="116">
        <v>27700</v>
      </c>
      <c r="AG71" s="116">
        <v>26790</v>
      </c>
      <c r="AH71" s="116">
        <v>26110</v>
      </c>
      <c r="AI71" s="116">
        <v>25490</v>
      </c>
      <c r="AJ71" s="116">
        <v>25490</v>
      </c>
      <c r="AK71" s="116">
        <v>25260</v>
      </c>
      <c r="AL71" s="116">
        <v>26040</v>
      </c>
      <c r="AM71" s="116">
        <v>26820</v>
      </c>
      <c r="AN71" s="116">
        <v>27600</v>
      </c>
      <c r="AO71" s="116">
        <v>28360</v>
      </c>
      <c r="AP71" s="116">
        <v>29050</v>
      </c>
      <c r="AQ71" s="116">
        <v>28960</v>
      </c>
      <c r="AR71" s="116">
        <v>28810</v>
      </c>
      <c r="AS71" s="116">
        <v>29000</v>
      </c>
      <c r="AT71" s="116">
        <v>29510</v>
      </c>
      <c r="AU71" s="116">
        <v>30560</v>
      </c>
      <c r="AV71" s="116">
        <v>31440</v>
      </c>
      <c r="AW71" s="116">
        <v>32410</v>
      </c>
      <c r="AX71" s="116">
        <v>33510</v>
      </c>
      <c r="AY71" s="116">
        <v>32950</v>
      </c>
      <c r="AZ71" s="116">
        <v>32700</v>
      </c>
      <c r="BA71" s="116">
        <v>32120</v>
      </c>
      <c r="BB71" s="116">
        <v>32170</v>
      </c>
      <c r="BC71" s="116">
        <v>31840</v>
      </c>
      <c r="BD71" s="116">
        <v>30760</v>
      </c>
      <c r="BE71" s="116">
        <v>31000</v>
      </c>
      <c r="BF71" s="116">
        <v>30670</v>
      </c>
    </row>
    <row r="72" spans="1:58" ht="12.75">
      <c r="A72" s="118" t="s">
        <v>372</v>
      </c>
      <c r="B72" s="11"/>
      <c r="C72" s="116">
        <v>16270</v>
      </c>
      <c r="D72" s="116">
        <v>18240</v>
      </c>
      <c r="E72" s="116">
        <v>18830</v>
      </c>
      <c r="F72" s="116">
        <v>19680</v>
      </c>
      <c r="G72" s="116">
        <v>23290</v>
      </c>
      <c r="H72" s="116">
        <v>23030</v>
      </c>
      <c r="I72" s="116">
        <v>22840</v>
      </c>
      <c r="J72" s="116">
        <v>23050</v>
      </c>
      <c r="K72" s="116">
        <v>22920</v>
      </c>
      <c r="L72" s="116">
        <v>23370</v>
      </c>
      <c r="M72" s="116">
        <v>23580</v>
      </c>
      <c r="N72" s="116">
        <v>24180</v>
      </c>
      <c r="O72" s="116">
        <v>24790</v>
      </c>
      <c r="P72" s="116">
        <v>25830</v>
      </c>
      <c r="Q72" s="116">
        <v>26370</v>
      </c>
      <c r="R72" s="116">
        <v>26520</v>
      </c>
      <c r="S72" s="116">
        <v>27850</v>
      </c>
      <c r="T72" s="116">
        <v>28260</v>
      </c>
      <c r="U72" s="116">
        <v>29140</v>
      </c>
      <c r="V72" s="116">
        <v>29730</v>
      </c>
      <c r="W72" s="116">
        <v>29620</v>
      </c>
      <c r="X72" s="116">
        <v>29370</v>
      </c>
      <c r="Y72" s="116">
        <v>28320</v>
      </c>
      <c r="Z72" s="116">
        <v>27990</v>
      </c>
      <c r="AA72" s="116">
        <v>27790</v>
      </c>
      <c r="AB72" s="116">
        <v>28050</v>
      </c>
      <c r="AC72" s="116">
        <v>28500</v>
      </c>
      <c r="AD72" s="116">
        <v>28320</v>
      </c>
      <c r="AE72" s="116">
        <v>28910</v>
      </c>
      <c r="AF72" s="116">
        <v>28660</v>
      </c>
      <c r="AG72" s="116">
        <v>27550</v>
      </c>
      <c r="AH72" s="116">
        <v>26650</v>
      </c>
      <c r="AI72" s="116">
        <v>25970</v>
      </c>
      <c r="AJ72" s="116">
        <v>25360</v>
      </c>
      <c r="AK72" s="116">
        <v>25360</v>
      </c>
      <c r="AL72" s="116">
        <v>25130</v>
      </c>
      <c r="AM72" s="116">
        <v>25910</v>
      </c>
      <c r="AN72" s="116">
        <v>26690</v>
      </c>
      <c r="AO72" s="116">
        <v>27460</v>
      </c>
      <c r="AP72" s="116">
        <v>28220</v>
      </c>
      <c r="AQ72" s="116">
        <v>28910</v>
      </c>
      <c r="AR72" s="116">
        <v>28820</v>
      </c>
      <c r="AS72" s="116">
        <v>28670</v>
      </c>
      <c r="AT72" s="116">
        <v>28860</v>
      </c>
      <c r="AU72" s="116">
        <v>29370</v>
      </c>
      <c r="AV72" s="116">
        <v>30410</v>
      </c>
      <c r="AW72" s="116">
        <v>31290</v>
      </c>
      <c r="AX72" s="116">
        <v>32250</v>
      </c>
      <c r="AY72" s="116">
        <v>33350</v>
      </c>
      <c r="AZ72" s="116">
        <v>32790</v>
      </c>
      <c r="BA72" s="116">
        <v>32540</v>
      </c>
      <c r="BB72" s="116">
        <v>31970</v>
      </c>
      <c r="BC72" s="116">
        <v>32010</v>
      </c>
      <c r="BD72" s="116">
        <v>31690</v>
      </c>
      <c r="BE72" s="116">
        <v>30620</v>
      </c>
      <c r="BF72" s="116">
        <v>30860</v>
      </c>
    </row>
    <row r="73" spans="1:58" ht="12.75">
      <c r="A73" s="118" t="s">
        <v>373</v>
      </c>
      <c r="B73" s="11"/>
      <c r="C73" s="116">
        <v>17930</v>
      </c>
      <c r="D73" s="116">
        <v>16130</v>
      </c>
      <c r="E73" s="116">
        <v>18070</v>
      </c>
      <c r="F73" s="116">
        <v>18660</v>
      </c>
      <c r="G73" s="116">
        <v>19510</v>
      </c>
      <c r="H73" s="116">
        <v>23090</v>
      </c>
      <c r="I73" s="116">
        <v>22830</v>
      </c>
      <c r="J73" s="116">
        <v>22650</v>
      </c>
      <c r="K73" s="116">
        <v>22860</v>
      </c>
      <c r="L73" s="116">
        <v>22740</v>
      </c>
      <c r="M73" s="116">
        <v>23190</v>
      </c>
      <c r="N73" s="116">
        <v>23390</v>
      </c>
      <c r="O73" s="116">
        <v>24000</v>
      </c>
      <c r="P73" s="116">
        <v>24600</v>
      </c>
      <c r="Q73" s="116">
        <v>25640</v>
      </c>
      <c r="R73" s="116">
        <v>26180</v>
      </c>
      <c r="S73" s="116">
        <v>26330</v>
      </c>
      <c r="T73" s="116">
        <v>27650</v>
      </c>
      <c r="U73" s="116">
        <v>28060</v>
      </c>
      <c r="V73" s="116">
        <v>28930</v>
      </c>
      <c r="W73" s="116">
        <v>29530</v>
      </c>
      <c r="X73" s="116">
        <v>29420</v>
      </c>
      <c r="Y73" s="116">
        <v>29170</v>
      </c>
      <c r="Z73" s="116">
        <v>28130</v>
      </c>
      <c r="AA73" s="116">
        <v>27810</v>
      </c>
      <c r="AB73" s="116">
        <v>27610</v>
      </c>
      <c r="AC73" s="116">
        <v>27870</v>
      </c>
      <c r="AD73" s="116">
        <v>28320</v>
      </c>
      <c r="AE73" s="116">
        <v>28150</v>
      </c>
      <c r="AF73" s="116">
        <v>28740</v>
      </c>
      <c r="AG73" s="116">
        <v>28490</v>
      </c>
      <c r="AH73" s="116">
        <v>27390</v>
      </c>
      <c r="AI73" s="116">
        <v>26500</v>
      </c>
      <c r="AJ73" s="116">
        <v>25830</v>
      </c>
      <c r="AK73" s="116">
        <v>25220</v>
      </c>
      <c r="AL73" s="116">
        <v>25220</v>
      </c>
      <c r="AM73" s="116">
        <v>24990</v>
      </c>
      <c r="AN73" s="116">
        <v>25770</v>
      </c>
      <c r="AO73" s="116">
        <v>26550</v>
      </c>
      <c r="AP73" s="116">
        <v>27320</v>
      </c>
      <c r="AQ73" s="116">
        <v>28070</v>
      </c>
      <c r="AR73" s="116">
        <v>28750</v>
      </c>
      <c r="AS73" s="116">
        <v>28660</v>
      </c>
      <c r="AT73" s="116">
        <v>28520</v>
      </c>
      <c r="AU73" s="116">
        <v>28710</v>
      </c>
      <c r="AV73" s="116">
        <v>29220</v>
      </c>
      <c r="AW73" s="116">
        <v>30250</v>
      </c>
      <c r="AX73" s="116">
        <v>31120</v>
      </c>
      <c r="AY73" s="116">
        <v>32080</v>
      </c>
      <c r="AZ73" s="116">
        <v>33170</v>
      </c>
      <c r="BA73" s="116">
        <v>32610</v>
      </c>
      <c r="BB73" s="116">
        <v>32370</v>
      </c>
      <c r="BC73" s="116">
        <v>31800</v>
      </c>
      <c r="BD73" s="116">
        <v>31840</v>
      </c>
      <c r="BE73" s="116">
        <v>31530</v>
      </c>
      <c r="BF73" s="116">
        <v>30460</v>
      </c>
    </row>
    <row r="74" spans="1:58" ht="12.75">
      <c r="A74" s="118" t="s">
        <v>374</v>
      </c>
      <c r="B74" s="11"/>
      <c r="C74" s="116">
        <v>17660</v>
      </c>
      <c r="D74" s="116">
        <v>17740</v>
      </c>
      <c r="E74" s="116">
        <v>15960</v>
      </c>
      <c r="F74" s="116">
        <v>17890</v>
      </c>
      <c r="G74" s="116">
        <v>18480</v>
      </c>
      <c r="H74" s="116">
        <v>19320</v>
      </c>
      <c r="I74" s="116">
        <v>22860</v>
      </c>
      <c r="J74" s="116">
        <v>22620</v>
      </c>
      <c r="K74" s="116">
        <v>22440</v>
      </c>
      <c r="L74" s="116">
        <v>22650</v>
      </c>
      <c r="M74" s="116">
        <v>22530</v>
      </c>
      <c r="N74" s="116">
        <v>22980</v>
      </c>
      <c r="O74" s="116">
        <v>23190</v>
      </c>
      <c r="P74" s="116">
        <v>23800</v>
      </c>
      <c r="Q74" s="116">
        <v>24400</v>
      </c>
      <c r="R74" s="116">
        <v>25430</v>
      </c>
      <c r="S74" s="116">
        <v>25970</v>
      </c>
      <c r="T74" s="116">
        <v>26120</v>
      </c>
      <c r="U74" s="116">
        <v>27430</v>
      </c>
      <c r="V74" s="116">
        <v>27840</v>
      </c>
      <c r="W74" s="116">
        <v>28710</v>
      </c>
      <c r="X74" s="116">
        <v>29300</v>
      </c>
      <c r="Y74" s="116">
        <v>29200</v>
      </c>
      <c r="Z74" s="116">
        <v>28960</v>
      </c>
      <c r="AA74" s="116">
        <v>27930</v>
      </c>
      <c r="AB74" s="116">
        <v>27610</v>
      </c>
      <c r="AC74" s="116">
        <v>27420</v>
      </c>
      <c r="AD74" s="116">
        <v>27680</v>
      </c>
      <c r="AE74" s="116">
        <v>28130</v>
      </c>
      <c r="AF74" s="116">
        <v>27960</v>
      </c>
      <c r="AG74" s="116">
        <v>28550</v>
      </c>
      <c r="AH74" s="116">
        <v>28300</v>
      </c>
      <c r="AI74" s="116">
        <v>27220</v>
      </c>
      <c r="AJ74" s="116">
        <v>26330</v>
      </c>
      <c r="AK74" s="116">
        <v>25670</v>
      </c>
      <c r="AL74" s="116">
        <v>25060</v>
      </c>
      <c r="AM74" s="116">
        <v>25060</v>
      </c>
      <c r="AN74" s="116">
        <v>24840</v>
      </c>
      <c r="AO74" s="116">
        <v>25620</v>
      </c>
      <c r="AP74" s="116">
        <v>26390</v>
      </c>
      <c r="AQ74" s="116">
        <v>27150</v>
      </c>
      <c r="AR74" s="116">
        <v>27900</v>
      </c>
      <c r="AS74" s="116">
        <v>28580</v>
      </c>
      <c r="AT74" s="116">
        <v>28490</v>
      </c>
      <c r="AU74" s="116">
        <v>28350</v>
      </c>
      <c r="AV74" s="116">
        <v>28540</v>
      </c>
      <c r="AW74" s="116">
        <v>29050</v>
      </c>
      <c r="AX74" s="116">
        <v>30070</v>
      </c>
      <c r="AY74" s="116">
        <v>30940</v>
      </c>
      <c r="AZ74" s="116">
        <v>31890</v>
      </c>
      <c r="BA74" s="116">
        <v>32970</v>
      </c>
      <c r="BB74" s="116">
        <v>32420</v>
      </c>
      <c r="BC74" s="116">
        <v>32180</v>
      </c>
      <c r="BD74" s="116">
        <v>31610</v>
      </c>
      <c r="BE74" s="116">
        <v>31660</v>
      </c>
      <c r="BF74" s="116">
        <v>31340</v>
      </c>
    </row>
    <row r="75" spans="1:58" ht="12.75">
      <c r="A75" s="118" t="s">
        <v>375</v>
      </c>
      <c r="B75" s="11"/>
      <c r="C75" s="116">
        <v>16280</v>
      </c>
      <c r="D75" s="116">
        <v>17460</v>
      </c>
      <c r="E75" s="116">
        <v>17540</v>
      </c>
      <c r="F75" s="116">
        <v>15790</v>
      </c>
      <c r="G75" s="116">
        <v>17700</v>
      </c>
      <c r="H75" s="116">
        <v>18280</v>
      </c>
      <c r="I75" s="116">
        <v>19120</v>
      </c>
      <c r="J75" s="116">
        <v>22620</v>
      </c>
      <c r="K75" s="116">
        <v>22390</v>
      </c>
      <c r="L75" s="116">
        <v>22220</v>
      </c>
      <c r="M75" s="116">
        <v>22430</v>
      </c>
      <c r="N75" s="116">
        <v>22320</v>
      </c>
      <c r="O75" s="116">
        <v>22770</v>
      </c>
      <c r="P75" s="116">
        <v>22980</v>
      </c>
      <c r="Q75" s="116">
        <v>23580</v>
      </c>
      <c r="R75" s="116">
        <v>24180</v>
      </c>
      <c r="S75" s="116">
        <v>25200</v>
      </c>
      <c r="T75" s="116">
        <v>25740</v>
      </c>
      <c r="U75" s="116">
        <v>25890</v>
      </c>
      <c r="V75" s="116">
        <v>27190</v>
      </c>
      <c r="W75" s="116">
        <v>27610</v>
      </c>
      <c r="X75" s="116">
        <v>28470</v>
      </c>
      <c r="Y75" s="116">
        <v>29060</v>
      </c>
      <c r="Z75" s="116">
        <v>28960</v>
      </c>
      <c r="AA75" s="116">
        <v>28720</v>
      </c>
      <c r="AB75" s="116">
        <v>27710</v>
      </c>
      <c r="AC75" s="116">
        <v>27400</v>
      </c>
      <c r="AD75" s="116">
        <v>27210</v>
      </c>
      <c r="AE75" s="116">
        <v>27470</v>
      </c>
      <c r="AF75" s="116">
        <v>27920</v>
      </c>
      <c r="AG75" s="116">
        <v>27750</v>
      </c>
      <c r="AH75" s="116">
        <v>28340</v>
      </c>
      <c r="AI75" s="116">
        <v>28090</v>
      </c>
      <c r="AJ75" s="116">
        <v>27020</v>
      </c>
      <c r="AK75" s="116">
        <v>26150</v>
      </c>
      <c r="AL75" s="116">
        <v>25490</v>
      </c>
      <c r="AM75" s="116">
        <v>24890</v>
      </c>
      <c r="AN75" s="116">
        <v>24900</v>
      </c>
      <c r="AO75" s="116">
        <v>24680</v>
      </c>
      <c r="AP75" s="116">
        <v>25440</v>
      </c>
      <c r="AQ75" s="116">
        <v>26210</v>
      </c>
      <c r="AR75" s="116">
        <v>26970</v>
      </c>
      <c r="AS75" s="116">
        <v>27710</v>
      </c>
      <c r="AT75" s="116">
        <v>28390</v>
      </c>
      <c r="AU75" s="116">
        <v>28310</v>
      </c>
      <c r="AV75" s="116">
        <v>28170</v>
      </c>
      <c r="AW75" s="116">
        <v>28350</v>
      </c>
      <c r="AX75" s="116">
        <v>28860</v>
      </c>
      <c r="AY75" s="116">
        <v>29870</v>
      </c>
      <c r="AZ75" s="116">
        <v>30740</v>
      </c>
      <c r="BA75" s="116">
        <v>31680</v>
      </c>
      <c r="BB75" s="116">
        <v>32750</v>
      </c>
      <c r="BC75" s="116">
        <v>32210</v>
      </c>
      <c r="BD75" s="116">
        <v>31970</v>
      </c>
      <c r="BE75" s="116">
        <v>31400</v>
      </c>
      <c r="BF75" s="116">
        <v>31450</v>
      </c>
    </row>
    <row r="76" spans="1:58" ht="12.75">
      <c r="A76" s="118" t="s">
        <v>376</v>
      </c>
      <c r="B76" s="11"/>
      <c r="C76" s="116">
        <v>14490</v>
      </c>
      <c r="D76" s="116">
        <v>16070</v>
      </c>
      <c r="E76" s="116">
        <v>17240</v>
      </c>
      <c r="F76" s="116">
        <v>17320</v>
      </c>
      <c r="G76" s="116">
        <v>15600</v>
      </c>
      <c r="H76" s="116">
        <v>17490</v>
      </c>
      <c r="I76" s="116">
        <v>18070</v>
      </c>
      <c r="J76" s="116">
        <v>18900</v>
      </c>
      <c r="K76" s="116">
        <v>22360</v>
      </c>
      <c r="L76" s="116">
        <v>22130</v>
      </c>
      <c r="M76" s="116">
        <v>21970</v>
      </c>
      <c r="N76" s="116">
        <v>22190</v>
      </c>
      <c r="O76" s="116">
        <v>22080</v>
      </c>
      <c r="P76" s="116">
        <v>22530</v>
      </c>
      <c r="Q76" s="116">
        <v>22740</v>
      </c>
      <c r="R76" s="116">
        <v>23340</v>
      </c>
      <c r="S76" s="116">
        <v>23940</v>
      </c>
      <c r="T76" s="116">
        <v>24960</v>
      </c>
      <c r="U76" s="116">
        <v>25490</v>
      </c>
      <c r="V76" s="116">
        <v>25640</v>
      </c>
      <c r="W76" s="116">
        <v>26940</v>
      </c>
      <c r="X76" s="116">
        <v>27350</v>
      </c>
      <c r="Y76" s="116">
        <v>28210</v>
      </c>
      <c r="Z76" s="116">
        <v>28790</v>
      </c>
      <c r="AA76" s="116">
        <v>28700</v>
      </c>
      <c r="AB76" s="116">
        <v>28470</v>
      </c>
      <c r="AC76" s="116">
        <v>27470</v>
      </c>
      <c r="AD76" s="116">
        <v>27160</v>
      </c>
      <c r="AE76" s="116">
        <v>26980</v>
      </c>
      <c r="AF76" s="116">
        <v>27240</v>
      </c>
      <c r="AG76" s="116">
        <v>27690</v>
      </c>
      <c r="AH76" s="116">
        <v>27520</v>
      </c>
      <c r="AI76" s="116">
        <v>28110</v>
      </c>
      <c r="AJ76" s="116">
        <v>27870</v>
      </c>
      <c r="AK76" s="116">
        <v>26810</v>
      </c>
      <c r="AL76" s="116">
        <v>25940</v>
      </c>
      <c r="AM76" s="116">
        <v>25290</v>
      </c>
      <c r="AN76" s="116">
        <v>24710</v>
      </c>
      <c r="AO76" s="116">
        <v>24710</v>
      </c>
      <c r="AP76" s="116">
        <v>24490</v>
      </c>
      <c r="AQ76" s="116">
        <v>25260</v>
      </c>
      <c r="AR76" s="116">
        <v>26020</v>
      </c>
      <c r="AS76" s="116">
        <v>26770</v>
      </c>
      <c r="AT76" s="116">
        <v>27510</v>
      </c>
      <c r="AU76" s="116">
        <v>28180</v>
      </c>
      <c r="AV76" s="116">
        <v>28100</v>
      </c>
      <c r="AW76" s="116">
        <v>27960</v>
      </c>
      <c r="AX76" s="116">
        <v>28140</v>
      </c>
      <c r="AY76" s="116">
        <v>28650</v>
      </c>
      <c r="AZ76" s="116">
        <v>29650</v>
      </c>
      <c r="BA76" s="116">
        <v>30510</v>
      </c>
      <c r="BB76" s="116">
        <v>31450</v>
      </c>
      <c r="BC76" s="116">
        <v>32510</v>
      </c>
      <c r="BD76" s="116">
        <v>31970</v>
      </c>
      <c r="BE76" s="116">
        <v>31730</v>
      </c>
      <c r="BF76" s="116">
        <v>31180</v>
      </c>
    </row>
    <row r="77" spans="1:58" ht="12.75">
      <c r="A77" s="118" t="s">
        <v>377</v>
      </c>
      <c r="B77" s="11"/>
      <c r="C77" s="116">
        <v>13990</v>
      </c>
      <c r="D77" s="116">
        <v>14290</v>
      </c>
      <c r="E77" s="116">
        <v>15840</v>
      </c>
      <c r="F77" s="116">
        <v>16990</v>
      </c>
      <c r="G77" s="116">
        <v>17080</v>
      </c>
      <c r="H77" s="116">
        <v>15400</v>
      </c>
      <c r="I77" s="116">
        <v>17260</v>
      </c>
      <c r="J77" s="116">
        <v>17840</v>
      </c>
      <c r="K77" s="116">
        <v>18670</v>
      </c>
      <c r="L77" s="116">
        <v>22080</v>
      </c>
      <c r="M77" s="116">
        <v>21860</v>
      </c>
      <c r="N77" s="116">
        <v>21710</v>
      </c>
      <c r="O77" s="116">
        <v>21930</v>
      </c>
      <c r="P77" s="116">
        <v>21820</v>
      </c>
      <c r="Q77" s="116">
        <v>22270</v>
      </c>
      <c r="R77" s="116">
        <v>22480</v>
      </c>
      <c r="S77" s="116">
        <v>23080</v>
      </c>
      <c r="T77" s="116">
        <v>23680</v>
      </c>
      <c r="U77" s="116">
        <v>24680</v>
      </c>
      <c r="V77" s="116">
        <v>25210</v>
      </c>
      <c r="W77" s="116">
        <v>25370</v>
      </c>
      <c r="X77" s="116">
        <v>26660</v>
      </c>
      <c r="Y77" s="116">
        <v>27070</v>
      </c>
      <c r="Z77" s="116">
        <v>27920</v>
      </c>
      <c r="AA77" s="116">
        <v>28500</v>
      </c>
      <c r="AB77" s="116">
        <v>28420</v>
      </c>
      <c r="AC77" s="116">
        <v>28190</v>
      </c>
      <c r="AD77" s="116">
        <v>27210</v>
      </c>
      <c r="AE77" s="116">
        <v>26900</v>
      </c>
      <c r="AF77" s="116">
        <v>26730</v>
      </c>
      <c r="AG77" s="116">
        <v>26990</v>
      </c>
      <c r="AH77" s="116">
        <v>27430</v>
      </c>
      <c r="AI77" s="116">
        <v>27270</v>
      </c>
      <c r="AJ77" s="116">
        <v>27850</v>
      </c>
      <c r="AK77" s="116">
        <v>27620</v>
      </c>
      <c r="AL77" s="116">
        <v>26570</v>
      </c>
      <c r="AM77" s="116">
        <v>25720</v>
      </c>
      <c r="AN77" s="116">
        <v>25080</v>
      </c>
      <c r="AO77" s="116">
        <v>24500</v>
      </c>
      <c r="AP77" s="116">
        <v>24500</v>
      </c>
      <c r="AQ77" s="116">
        <v>24290</v>
      </c>
      <c r="AR77" s="116">
        <v>25050</v>
      </c>
      <c r="AS77" s="116">
        <v>25800</v>
      </c>
      <c r="AT77" s="116">
        <v>26550</v>
      </c>
      <c r="AU77" s="116">
        <v>27280</v>
      </c>
      <c r="AV77" s="116">
        <v>27940</v>
      </c>
      <c r="AW77" s="116">
        <v>27870</v>
      </c>
      <c r="AX77" s="116">
        <v>27730</v>
      </c>
      <c r="AY77" s="116">
        <v>27910</v>
      </c>
      <c r="AZ77" s="116">
        <v>28410</v>
      </c>
      <c r="BA77" s="116">
        <v>29410</v>
      </c>
      <c r="BB77" s="116">
        <v>30260</v>
      </c>
      <c r="BC77" s="116">
        <v>31190</v>
      </c>
      <c r="BD77" s="116">
        <v>32240</v>
      </c>
      <c r="BE77" s="116">
        <v>31710</v>
      </c>
      <c r="BF77" s="116">
        <v>31470</v>
      </c>
    </row>
    <row r="78" spans="1:58" ht="12.75">
      <c r="A78" s="118" t="s">
        <v>378</v>
      </c>
      <c r="B78" s="11"/>
      <c r="C78" s="116">
        <v>13200</v>
      </c>
      <c r="D78" s="116">
        <v>13760</v>
      </c>
      <c r="E78" s="116">
        <v>14060</v>
      </c>
      <c r="F78" s="116">
        <v>15600</v>
      </c>
      <c r="G78" s="116">
        <v>16740</v>
      </c>
      <c r="H78" s="116">
        <v>16830</v>
      </c>
      <c r="I78" s="116">
        <v>15180</v>
      </c>
      <c r="J78" s="116">
        <v>17020</v>
      </c>
      <c r="K78" s="116">
        <v>17590</v>
      </c>
      <c r="L78" s="116">
        <v>18410</v>
      </c>
      <c r="M78" s="116">
        <v>21780</v>
      </c>
      <c r="N78" s="116">
        <v>21560</v>
      </c>
      <c r="O78" s="116">
        <v>21420</v>
      </c>
      <c r="P78" s="116">
        <v>21640</v>
      </c>
      <c r="Q78" s="116">
        <v>21540</v>
      </c>
      <c r="R78" s="116">
        <v>21990</v>
      </c>
      <c r="S78" s="116">
        <v>22200</v>
      </c>
      <c r="T78" s="116">
        <v>22800</v>
      </c>
      <c r="U78" s="116">
        <v>23390</v>
      </c>
      <c r="V78" s="116">
        <v>24390</v>
      </c>
      <c r="W78" s="116">
        <v>24920</v>
      </c>
      <c r="X78" s="116">
        <v>25080</v>
      </c>
      <c r="Y78" s="116">
        <v>26350</v>
      </c>
      <c r="Z78" s="116">
        <v>26760</v>
      </c>
      <c r="AA78" s="116">
        <v>27600</v>
      </c>
      <c r="AB78" s="116">
        <v>28180</v>
      </c>
      <c r="AC78" s="116">
        <v>28100</v>
      </c>
      <c r="AD78" s="116">
        <v>27880</v>
      </c>
      <c r="AE78" s="116">
        <v>26920</v>
      </c>
      <c r="AF78" s="116">
        <v>26620</v>
      </c>
      <c r="AG78" s="116">
        <v>26450</v>
      </c>
      <c r="AH78" s="116">
        <v>26710</v>
      </c>
      <c r="AI78" s="116">
        <v>27150</v>
      </c>
      <c r="AJ78" s="116">
        <v>26990</v>
      </c>
      <c r="AK78" s="116">
        <v>27570</v>
      </c>
      <c r="AL78" s="116">
        <v>27340</v>
      </c>
      <c r="AM78" s="116">
        <v>26310</v>
      </c>
      <c r="AN78" s="116">
        <v>25470</v>
      </c>
      <c r="AO78" s="116">
        <v>24840</v>
      </c>
      <c r="AP78" s="116">
        <v>24260</v>
      </c>
      <c r="AQ78" s="116">
        <v>24270</v>
      </c>
      <c r="AR78" s="116">
        <v>24060</v>
      </c>
      <c r="AS78" s="116">
        <v>24810</v>
      </c>
      <c r="AT78" s="116">
        <v>25560</v>
      </c>
      <c r="AU78" s="116">
        <v>26300</v>
      </c>
      <c r="AV78" s="116">
        <v>27020</v>
      </c>
      <c r="AW78" s="116">
        <v>27680</v>
      </c>
      <c r="AX78" s="116">
        <v>27610</v>
      </c>
      <c r="AY78" s="116">
        <v>27480</v>
      </c>
      <c r="AZ78" s="116">
        <v>27660</v>
      </c>
      <c r="BA78" s="116">
        <v>28150</v>
      </c>
      <c r="BB78" s="116">
        <v>29140</v>
      </c>
      <c r="BC78" s="116">
        <v>29980</v>
      </c>
      <c r="BD78" s="116">
        <v>30900</v>
      </c>
      <c r="BE78" s="116">
        <v>31940</v>
      </c>
      <c r="BF78" s="116">
        <v>31410</v>
      </c>
    </row>
    <row r="79" spans="1:58" ht="12.75">
      <c r="A79" s="118" t="s">
        <v>379</v>
      </c>
      <c r="B79" s="11"/>
      <c r="C79" s="116">
        <v>12400</v>
      </c>
      <c r="D79" s="116">
        <v>12960</v>
      </c>
      <c r="E79" s="116">
        <v>13520</v>
      </c>
      <c r="F79" s="116">
        <v>13820</v>
      </c>
      <c r="G79" s="116">
        <v>15330</v>
      </c>
      <c r="H79" s="116">
        <v>16450</v>
      </c>
      <c r="I79" s="116">
        <v>16550</v>
      </c>
      <c r="J79" s="116">
        <v>14940</v>
      </c>
      <c r="K79" s="116">
        <v>16750</v>
      </c>
      <c r="L79" s="116">
        <v>17310</v>
      </c>
      <c r="M79" s="116">
        <v>18120</v>
      </c>
      <c r="N79" s="116">
        <v>21440</v>
      </c>
      <c r="O79" s="116">
        <v>21240</v>
      </c>
      <c r="P79" s="116">
        <v>21100</v>
      </c>
      <c r="Q79" s="116">
        <v>21330</v>
      </c>
      <c r="R79" s="116">
        <v>21240</v>
      </c>
      <c r="S79" s="116">
        <v>21680</v>
      </c>
      <c r="T79" s="116">
        <v>21900</v>
      </c>
      <c r="U79" s="116">
        <v>22490</v>
      </c>
      <c r="V79" s="116">
        <v>23080</v>
      </c>
      <c r="W79" s="116">
        <v>24060</v>
      </c>
      <c r="X79" s="116">
        <v>24590</v>
      </c>
      <c r="Y79" s="116">
        <v>24750</v>
      </c>
      <c r="Z79" s="116">
        <v>26010</v>
      </c>
      <c r="AA79" s="116">
        <v>26420</v>
      </c>
      <c r="AB79" s="116">
        <v>27260</v>
      </c>
      <c r="AC79" s="116">
        <v>27840</v>
      </c>
      <c r="AD79" s="116">
        <v>27760</v>
      </c>
      <c r="AE79" s="116">
        <v>27550</v>
      </c>
      <c r="AF79" s="116">
        <v>26590</v>
      </c>
      <c r="AG79" s="116">
        <v>26310</v>
      </c>
      <c r="AH79" s="116">
        <v>26140</v>
      </c>
      <c r="AI79" s="116">
        <v>26400</v>
      </c>
      <c r="AJ79" s="116">
        <v>26840</v>
      </c>
      <c r="AK79" s="116">
        <v>26690</v>
      </c>
      <c r="AL79" s="116">
        <v>27260</v>
      </c>
      <c r="AM79" s="116">
        <v>27040</v>
      </c>
      <c r="AN79" s="116">
        <v>26020</v>
      </c>
      <c r="AO79" s="116">
        <v>25190</v>
      </c>
      <c r="AP79" s="116">
        <v>24570</v>
      </c>
      <c r="AQ79" s="116">
        <v>24000</v>
      </c>
      <c r="AR79" s="116">
        <v>24010</v>
      </c>
      <c r="AS79" s="116">
        <v>23810</v>
      </c>
      <c r="AT79" s="116">
        <v>24550</v>
      </c>
      <c r="AU79" s="116">
        <v>25290</v>
      </c>
      <c r="AV79" s="116">
        <v>26030</v>
      </c>
      <c r="AW79" s="116">
        <v>26740</v>
      </c>
      <c r="AX79" s="116">
        <v>27400</v>
      </c>
      <c r="AY79" s="116">
        <v>27320</v>
      </c>
      <c r="AZ79" s="116">
        <v>27190</v>
      </c>
      <c r="BA79" s="116">
        <v>27370</v>
      </c>
      <c r="BB79" s="116">
        <v>27860</v>
      </c>
      <c r="BC79" s="116">
        <v>28840</v>
      </c>
      <c r="BD79" s="116">
        <v>29670</v>
      </c>
      <c r="BE79" s="116">
        <v>30580</v>
      </c>
      <c r="BF79" s="116">
        <v>31610</v>
      </c>
    </row>
    <row r="80" spans="1:58" ht="12.75">
      <c r="A80" s="118" t="s">
        <v>380</v>
      </c>
      <c r="B80" s="11"/>
      <c r="C80" s="116">
        <v>11940</v>
      </c>
      <c r="D80" s="116">
        <v>12150</v>
      </c>
      <c r="E80" s="116">
        <v>12710</v>
      </c>
      <c r="F80" s="116">
        <v>13260</v>
      </c>
      <c r="G80" s="116">
        <v>13560</v>
      </c>
      <c r="H80" s="116">
        <v>15040</v>
      </c>
      <c r="I80" s="116">
        <v>16150</v>
      </c>
      <c r="J80" s="116">
        <v>16250</v>
      </c>
      <c r="K80" s="116">
        <v>14670</v>
      </c>
      <c r="L80" s="116">
        <v>16450</v>
      </c>
      <c r="M80" s="116">
        <v>17010</v>
      </c>
      <c r="N80" s="116">
        <v>17820</v>
      </c>
      <c r="O80" s="116">
        <v>21080</v>
      </c>
      <c r="P80" s="116">
        <v>20890</v>
      </c>
      <c r="Q80" s="116">
        <v>20760</v>
      </c>
      <c r="R80" s="116">
        <v>20980</v>
      </c>
      <c r="S80" s="116">
        <v>20900</v>
      </c>
      <c r="T80" s="116">
        <v>21340</v>
      </c>
      <c r="U80" s="116">
        <v>21560</v>
      </c>
      <c r="V80" s="116">
        <v>22150</v>
      </c>
      <c r="W80" s="116">
        <v>22730</v>
      </c>
      <c r="X80" s="116">
        <v>23710</v>
      </c>
      <c r="Y80" s="116">
        <v>24230</v>
      </c>
      <c r="Z80" s="116">
        <v>24400</v>
      </c>
      <c r="AA80" s="116">
        <v>25640</v>
      </c>
      <c r="AB80" s="116">
        <v>26050</v>
      </c>
      <c r="AC80" s="116">
        <v>26880</v>
      </c>
      <c r="AD80" s="116">
        <v>27450</v>
      </c>
      <c r="AE80" s="116">
        <v>27380</v>
      </c>
      <c r="AF80" s="116">
        <v>27180</v>
      </c>
      <c r="AG80" s="116">
        <v>26240</v>
      </c>
      <c r="AH80" s="116">
        <v>25960</v>
      </c>
      <c r="AI80" s="116">
        <v>25800</v>
      </c>
      <c r="AJ80" s="116">
        <v>26060</v>
      </c>
      <c r="AK80" s="116">
        <v>26500</v>
      </c>
      <c r="AL80" s="116">
        <v>26350</v>
      </c>
      <c r="AM80" s="116">
        <v>26920</v>
      </c>
      <c r="AN80" s="116">
        <v>26700</v>
      </c>
      <c r="AO80" s="116">
        <v>25700</v>
      </c>
      <c r="AP80" s="116">
        <v>24880</v>
      </c>
      <c r="AQ80" s="116">
        <v>24270</v>
      </c>
      <c r="AR80" s="116">
        <v>23720</v>
      </c>
      <c r="AS80" s="116">
        <v>23730</v>
      </c>
      <c r="AT80" s="116">
        <v>23530</v>
      </c>
      <c r="AU80" s="116">
        <v>24260</v>
      </c>
      <c r="AV80" s="116">
        <v>24990</v>
      </c>
      <c r="AW80" s="116">
        <v>25720</v>
      </c>
      <c r="AX80" s="116">
        <v>26430</v>
      </c>
      <c r="AY80" s="116">
        <v>27070</v>
      </c>
      <c r="AZ80" s="116">
        <v>27000</v>
      </c>
      <c r="BA80" s="116">
        <v>26870</v>
      </c>
      <c r="BB80" s="116">
        <v>27050</v>
      </c>
      <c r="BC80" s="116">
        <v>27530</v>
      </c>
      <c r="BD80" s="116">
        <v>28500</v>
      </c>
      <c r="BE80" s="116">
        <v>29320</v>
      </c>
      <c r="BF80" s="116">
        <v>30220</v>
      </c>
    </row>
    <row r="81" spans="1:58" ht="12.75">
      <c r="A81" s="118" t="s">
        <v>381</v>
      </c>
      <c r="B81" s="11"/>
      <c r="C81" s="116">
        <v>11370</v>
      </c>
      <c r="D81" s="116">
        <v>11670</v>
      </c>
      <c r="E81" s="116">
        <v>11880</v>
      </c>
      <c r="F81" s="116">
        <v>12430</v>
      </c>
      <c r="G81" s="116">
        <v>12970</v>
      </c>
      <c r="H81" s="116">
        <v>13270</v>
      </c>
      <c r="I81" s="116">
        <v>14730</v>
      </c>
      <c r="J81" s="116">
        <v>15820</v>
      </c>
      <c r="K81" s="116">
        <v>15920</v>
      </c>
      <c r="L81" s="116">
        <v>14390</v>
      </c>
      <c r="M81" s="116">
        <v>16140</v>
      </c>
      <c r="N81" s="116">
        <v>16690</v>
      </c>
      <c r="O81" s="116">
        <v>17480</v>
      </c>
      <c r="P81" s="116">
        <v>20690</v>
      </c>
      <c r="Q81" s="116">
        <v>20500</v>
      </c>
      <c r="R81" s="116">
        <v>20390</v>
      </c>
      <c r="S81" s="116">
        <v>20610</v>
      </c>
      <c r="T81" s="116">
        <v>20540</v>
      </c>
      <c r="U81" s="116">
        <v>20980</v>
      </c>
      <c r="V81" s="116">
        <v>21200</v>
      </c>
      <c r="W81" s="116">
        <v>21780</v>
      </c>
      <c r="X81" s="116">
        <v>22360</v>
      </c>
      <c r="Y81" s="116">
        <v>23320</v>
      </c>
      <c r="Z81" s="116">
        <v>23840</v>
      </c>
      <c r="AA81" s="116">
        <v>24010</v>
      </c>
      <c r="AB81" s="116">
        <v>25240</v>
      </c>
      <c r="AC81" s="116">
        <v>25640</v>
      </c>
      <c r="AD81" s="116">
        <v>26460</v>
      </c>
      <c r="AE81" s="116">
        <v>27030</v>
      </c>
      <c r="AF81" s="116">
        <v>26970</v>
      </c>
      <c r="AG81" s="116">
        <v>26770</v>
      </c>
      <c r="AH81" s="116">
        <v>25860</v>
      </c>
      <c r="AI81" s="116">
        <v>25580</v>
      </c>
      <c r="AJ81" s="116">
        <v>25430</v>
      </c>
      <c r="AK81" s="116">
        <v>25690</v>
      </c>
      <c r="AL81" s="116">
        <v>26120</v>
      </c>
      <c r="AM81" s="116">
        <v>25980</v>
      </c>
      <c r="AN81" s="116">
        <v>26540</v>
      </c>
      <c r="AO81" s="116">
        <v>26330</v>
      </c>
      <c r="AP81" s="116">
        <v>25350</v>
      </c>
      <c r="AQ81" s="116">
        <v>24550</v>
      </c>
      <c r="AR81" s="116">
        <v>23940</v>
      </c>
      <c r="AS81" s="116">
        <v>23400</v>
      </c>
      <c r="AT81" s="116">
        <v>23410</v>
      </c>
      <c r="AU81" s="116">
        <v>23220</v>
      </c>
      <c r="AV81" s="116">
        <v>23940</v>
      </c>
      <c r="AW81" s="116">
        <v>24660</v>
      </c>
      <c r="AX81" s="116">
        <v>25380</v>
      </c>
      <c r="AY81" s="116">
        <v>26080</v>
      </c>
      <c r="AZ81" s="116">
        <v>26720</v>
      </c>
      <c r="BA81" s="116">
        <v>26650</v>
      </c>
      <c r="BB81" s="116">
        <v>26520</v>
      </c>
      <c r="BC81" s="116">
        <v>26700</v>
      </c>
      <c r="BD81" s="116">
        <v>27170</v>
      </c>
      <c r="BE81" s="116">
        <v>28130</v>
      </c>
      <c r="BF81" s="116">
        <v>28940</v>
      </c>
    </row>
    <row r="82" spans="1:58" ht="12.75">
      <c r="A82" s="118" t="s">
        <v>382</v>
      </c>
      <c r="B82" s="11"/>
      <c r="C82" s="116">
        <v>10890</v>
      </c>
      <c r="D82" s="116">
        <v>11080</v>
      </c>
      <c r="E82" s="116">
        <v>11370</v>
      </c>
      <c r="F82" s="116">
        <v>11580</v>
      </c>
      <c r="G82" s="116">
        <v>12130</v>
      </c>
      <c r="H82" s="116">
        <v>12670</v>
      </c>
      <c r="I82" s="116">
        <v>12960</v>
      </c>
      <c r="J82" s="116">
        <v>14390</v>
      </c>
      <c r="K82" s="116">
        <v>15460</v>
      </c>
      <c r="L82" s="116">
        <v>15570</v>
      </c>
      <c r="M82" s="116">
        <v>14070</v>
      </c>
      <c r="N82" s="116">
        <v>15790</v>
      </c>
      <c r="O82" s="116">
        <v>16340</v>
      </c>
      <c r="P82" s="116">
        <v>17120</v>
      </c>
      <c r="Q82" s="116">
        <v>20260</v>
      </c>
      <c r="R82" s="116">
        <v>20090</v>
      </c>
      <c r="S82" s="116">
        <v>19980</v>
      </c>
      <c r="T82" s="116">
        <v>20210</v>
      </c>
      <c r="U82" s="116">
        <v>20140</v>
      </c>
      <c r="V82" s="116">
        <v>20580</v>
      </c>
      <c r="W82" s="116">
        <v>20800</v>
      </c>
      <c r="X82" s="116">
        <v>21380</v>
      </c>
      <c r="Y82" s="116">
        <v>21950</v>
      </c>
      <c r="Z82" s="116">
        <v>22900</v>
      </c>
      <c r="AA82" s="116">
        <v>23420</v>
      </c>
      <c r="AB82" s="116">
        <v>23590</v>
      </c>
      <c r="AC82" s="116">
        <v>24800</v>
      </c>
      <c r="AD82" s="116">
        <v>25200</v>
      </c>
      <c r="AE82" s="116">
        <v>26010</v>
      </c>
      <c r="AF82" s="116">
        <v>26580</v>
      </c>
      <c r="AG82" s="116">
        <v>26520</v>
      </c>
      <c r="AH82" s="116">
        <v>26330</v>
      </c>
      <c r="AI82" s="116">
        <v>25430</v>
      </c>
      <c r="AJ82" s="116">
        <v>25170</v>
      </c>
      <c r="AK82" s="116">
        <v>25020</v>
      </c>
      <c r="AL82" s="116">
        <v>25280</v>
      </c>
      <c r="AM82" s="116">
        <v>25710</v>
      </c>
      <c r="AN82" s="116">
        <v>25570</v>
      </c>
      <c r="AO82" s="116">
        <v>26130</v>
      </c>
      <c r="AP82" s="116">
        <v>25930</v>
      </c>
      <c r="AQ82" s="116">
        <v>24960</v>
      </c>
      <c r="AR82" s="116">
        <v>24170</v>
      </c>
      <c r="AS82" s="116">
        <v>23580</v>
      </c>
      <c r="AT82" s="116">
        <v>23050</v>
      </c>
      <c r="AU82" s="116">
        <v>23060</v>
      </c>
      <c r="AV82" s="116">
        <v>22870</v>
      </c>
      <c r="AW82" s="116">
        <v>23580</v>
      </c>
      <c r="AX82" s="116">
        <v>24300</v>
      </c>
      <c r="AY82" s="116">
        <v>25010</v>
      </c>
      <c r="AZ82" s="116">
        <v>25690</v>
      </c>
      <c r="BA82" s="116">
        <v>26320</v>
      </c>
      <c r="BB82" s="116">
        <v>26250</v>
      </c>
      <c r="BC82" s="116">
        <v>26130</v>
      </c>
      <c r="BD82" s="116">
        <v>26310</v>
      </c>
      <c r="BE82" s="116">
        <v>26770</v>
      </c>
      <c r="BF82" s="116">
        <v>27710</v>
      </c>
    </row>
    <row r="83" spans="1:58" ht="12.75">
      <c r="A83" s="118" t="s">
        <v>383</v>
      </c>
      <c r="B83" s="11"/>
      <c r="C83" s="116">
        <v>10790</v>
      </c>
      <c r="D83" s="116">
        <v>10570</v>
      </c>
      <c r="E83" s="116">
        <v>10770</v>
      </c>
      <c r="F83" s="116">
        <v>11060</v>
      </c>
      <c r="G83" s="116">
        <v>11270</v>
      </c>
      <c r="H83" s="116">
        <v>11810</v>
      </c>
      <c r="I83" s="116">
        <v>12340</v>
      </c>
      <c r="J83" s="116">
        <v>12630</v>
      </c>
      <c r="K83" s="116">
        <v>14030</v>
      </c>
      <c r="L83" s="116">
        <v>15080</v>
      </c>
      <c r="M83" s="116">
        <v>15190</v>
      </c>
      <c r="N83" s="116">
        <v>13740</v>
      </c>
      <c r="O83" s="116">
        <v>15420</v>
      </c>
      <c r="P83" s="116">
        <v>15960</v>
      </c>
      <c r="Q83" s="116">
        <v>16730</v>
      </c>
      <c r="R83" s="116">
        <v>19800</v>
      </c>
      <c r="S83" s="116">
        <v>19640</v>
      </c>
      <c r="T83" s="116">
        <v>19540</v>
      </c>
      <c r="U83" s="116">
        <v>19770</v>
      </c>
      <c r="V83" s="116">
        <v>19720</v>
      </c>
      <c r="W83" s="116">
        <v>20150</v>
      </c>
      <c r="X83" s="116">
        <v>20370</v>
      </c>
      <c r="Y83" s="116">
        <v>20940</v>
      </c>
      <c r="Z83" s="116">
        <v>21510</v>
      </c>
      <c r="AA83" s="116">
        <v>22450</v>
      </c>
      <c r="AB83" s="116">
        <v>22960</v>
      </c>
      <c r="AC83" s="116">
        <v>23130</v>
      </c>
      <c r="AD83" s="116">
        <v>24320</v>
      </c>
      <c r="AE83" s="116">
        <v>24720</v>
      </c>
      <c r="AF83" s="116">
        <v>25520</v>
      </c>
      <c r="AG83" s="116">
        <v>26080</v>
      </c>
      <c r="AH83" s="116">
        <v>26030</v>
      </c>
      <c r="AI83" s="116">
        <v>25850</v>
      </c>
      <c r="AJ83" s="116">
        <v>24970</v>
      </c>
      <c r="AK83" s="116">
        <v>24720</v>
      </c>
      <c r="AL83" s="116">
        <v>24580</v>
      </c>
      <c r="AM83" s="116">
        <v>24830</v>
      </c>
      <c r="AN83" s="116">
        <v>25260</v>
      </c>
      <c r="AO83" s="116">
        <v>25130</v>
      </c>
      <c r="AP83" s="116">
        <v>25680</v>
      </c>
      <c r="AQ83" s="116">
        <v>25480</v>
      </c>
      <c r="AR83" s="116">
        <v>24530</v>
      </c>
      <c r="AS83" s="116">
        <v>23760</v>
      </c>
      <c r="AT83" s="116">
        <v>23180</v>
      </c>
      <c r="AU83" s="116">
        <v>22660</v>
      </c>
      <c r="AV83" s="116">
        <v>22680</v>
      </c>
      <c r="AW83" s="116">
        <v>22490</v>
      </c>
      <c r="AX83" s="116">
        <v>23190</v>
      </c>
      <c r="AY83" s="116">
        <v>23900</v>
      </c>
      <c r="AZ83" s="116">
        <v>24590</v>
      </c>
      <c r="BA83" s="116">
        <v>25270</v>
      </c>
      <c r="BB83" s="116">
        <v>25890</v>
      </c>
      <c r="BC83" s="116">
        <v>25820</v>
      </c>
      <c r="BD83" s="116">
        <v>25700</v>
      </c>
      <c r="BE83" s="116">
        <v>25870</v>
      </c>
      <c r="BF83" s="116">
        <v>26330</v>
      </c>
    </row>
    <row r="84" spans="1:58" ht="12.75">
      <c r="A84" s="118" t="s">
        <v>384</v>
      </c>
      <c r="B84" s="11"/>
      <c r="C84" s="116">
        <v>10770</v>
      </c>
      <c r="D84" s="116">
        <v>10440</v>
      </c>
      <c r="E84" s="116">
        <v>10240</v>
      </c>
      <c r="F84" s="116">
        <v>10440</v>
      </c>
      <c r="G84" s="116">
        <v>10720</v>
      </c>
      <c r="H84" s="116">
        <v>10940</v>
      </c>
      <c r="I84" s="116">
        <v>11460</v>
      </c>
      <c r="J84" s="116">
        <v>11980</v>
      </c>
      <c r="K84" s="116">
        <v>12270</v>
      </c>
      <c r="L84" s="116">
        <v>13640</v>
      </c>
      <c r="M84" s="116">
        <v>14660</v>
      </c>
      <c r="N84" s="116">
        <v>14780</v>
      </c>
      <c r="O84" s="116">
        <v>13380</v>
      </c>
      <c r="P84" s="116">
        <v>15020</v>
      </c>
      <c r="Q84" s="116">
        <v>15550</v>
      </c>
      <c r="R84" s="116">
        <v>16310</v>
      </c>
      <c r="S84" s="116">
        <v>19310</v>
      </c>
      <c r="T84" s="116">
        <v>19160</v>
      </c>
      <c r="U84" s="116">
        <v>19070</v>
      </c>
      <c r="V84" s="116">
        <v>19300</v>
      </c>
      <c r="W84" s="116">
        <v>19250</v>
      </c>
      <c r="X84" s="116">
        <v>19680</v>
      </c>
      <c r="Y84" s="116">
        <v>19910</v>
      </c>
      <c r="Z84" s="116">
        <v>20470</v>
      </c>
      <c r="AA84" s="116">
        <v>21030</v>
      </c>
      <c r="AB84" s="116">
        <v>21950</v>
      </c>
      <c r="AC84" s="116">
        <v>22460</v>
      </c>
      <c r="AD84" s="116">
        <v>22630</v>
      </c>
      <c r="AE84" s="116">
        <v>23800</v>
      </c>
      <c r="AF84" s="116">
        <v>24200</v>
      </c>
      <c r="AG84" s="116">
        <v>24990</v>
      </c>
      <c r="AH84" s="116">
        <v>25540</v>
      </c>
      <c r="AI84" s="116">
        <v>25490</v>
      </c>
      <c r="AJ84" s="116">
        <v>25320</v>
      </c>
      <c r="AK84" s="116">
        <v>24470</v>
      </c>
      <c r="AL84" s="116">
        <v>24220</v>
      </c>
      <c r="AM84" s="116">
        <v>24090</v>
      </c>
      <c r="AN84" s="116">
        <v>24350</v>
      </c>
      <c r="AO84" s="116">
        <v>24760</v>
      </c>
      <c r="AP84" s="116">
        <v>24640</v>
      </c>
      <c r="AQ84" s="116">
        <v>25180</v>
      </c>
      <c r="AR84" s="116">
        <v>24990</v>
      </c>
      <c r="AS84" s="116">
        <v>24070</v>
      </c>
      <c r="AT84" s="116">
        <v>23310</v>
      </c>
      <c r="AU84" s="116">
        <v>22750</v>
      </c>
      <c r="AV84" s="116">
        <v>22240</v>
      </c>
      <c r="AW84" s="116">
        <v>22250</v>
      </c>
      <c r="AX84" s="116">
        <v>22070</v>
      </c>
      <c r="AY84" s="116">
        <v>22760</v>
      </c>
      <c r="AZ84" s="116">
        <v>23460</v>
      </c>
      <c r="BA84" s="116">
        <v>24140</v>
      </c>
      <c r="BB84" s="116">
        <v>24800</v>
      </c>
      <c r="BC84" s="116">
        <v>25410</v>
      </c>
      <c r="BD84" s="116">
        <v>25350</v>
      </c>
      <c r="BE84" s="116">
        <v>25230</v>
      </c>
      <c r="BF84" s="116">
        <v>25400</v>
      </c>
    </row>
    <row r="85" spans="1:58" ht="12.75">
      <c r="A85" s="118" t="s">
        <v>385</v>
      </c>
      <c r="B85" s="11"/>
      <c r="C85" s="116">
        <v>10040</v>
      </c>
      <c r="D85" s="116">
        <v>10380</v>
      </c>
      <c r="E85" s="116">
        <v>10070</v>
      </c>
      <c r="F85" s="116">
        <v>9890</v>
      </c>
      <c r="G85" s="116">
        <v>10080</v>
      </c>
      <c r="H85" s="116">
        <v>10370</v>
      </c>
      <c r="I85" s="116">
        <v>10580</v>
      </c>
      <c r="J85" s="116">
        <v>11090</v>
      </c>
      <c r="K85" s="116">
        <v>11600</v>
      </c>
      <c r="L85" s="116">
        <v>11890</v>
      </c>
      <c r="M85" s="116">
        <v>13220</v>
      </c>
      <c r="N85" s="116">
        <v>14220</v>
      </c>
      <c r="O85" s="116">
        <v>14350</v>
      </c>
      <c r="P85" s="116">
        <v>12990</v>
      </c>
      <c r="Q85" s="116">
        <v>14590</v>
      </c>
      <c r="R85" s="116">
        <v>15120</v>
      </c>
      <c r="S85" s="116">
        <v>15860</v>
      </c>
      <c r="T85" s="116">
        <v>18780</v>
      </c>
      <c r="U85" s="116">
        <v>18650</v>
      </c>
      <c r="V85" s="116">
        <v>18560</v>
      </c>
      <c r="W85" s="116">
        <v>18800</v>
      </c>
      <c r="X85" s="116">
        <v>18760</v>
      </c>
      <c r="Y85" s="116">
        <v>19180</v>
      </c>
      <c r="Z85" s="116">
        <v>19410</v>
      </c>
      <c r="AA85" s="116">
        <v>19960</v>
      </c>
      <c r="AB85" s="116">
        <v>20510</v>
      </c>
      <c r="AC85" s="116">
        <v>21420</v>
      </c>
      <c r="AD85" s="116">
        <v>21910</v>
      </c>
      <c r="AE85" s="116">
        <v>22090</v>
      </c>
      <c r="AF85" s="116">
        <v>23240</v>
      </c>
      <c r="AG85" s="116">
        <v>23630</v>
      </c>
      <c r="AH85" s="116">
        <v>24410</v>
      </c>
      <c r="AI85" s="116">
        <v>24950</v>
      </c>
      <c r="AJ85" s="116">
        <v>24910</v>
      </c>
      <c r="AK85" s="116">
        <v>24750</v>
      </c>
      <c r="AL85" s="116">
        <v>23920</v>
      </c>
      <c r="AM85" s="116">
        <v>23690</v>
      </c>
      <c r="AN85" s="116">
        <v>23560</v>
      </c>
      <c r="AO85" s="116">
        <v>23810</v>
      </c>
      <c r="AP85" s="116">
        <v>24230</v>
      </c>
      <c r="AQ85" s="116">
        <v>24110</v>
      </c>
      <c r="AR85" s="116">
        <v>24640</v>
      </c>
      <c r="AS85" s="116">
        <v>24460</v>
      </c>
      <c r="AT85" s="116">
        <v>23560</v>
      </c>
      <c r="AU85" s="116">
        <v>22820</v>
      </c>
      <c r="AV85" s="116">
        <v>22270</v>
      </c>
      <c r="AW85" s="116">
        <v>21770</v>
      </c>
      <c r="AX85" s="116">
        <v>21790</v>
      </c>
      <c r="AY85" s="116">
        <v>21620</v>
      </c>
      <c r="AZ85" s="116">
        <v>22290</v>
      </c>
      <c r="BA85" s="116">
        <v>22970</v>
      </c>
      <c r="BB85" s="116">
        <v>23640</v>
      </c>
      <c r="BC85" s="116">
        <v>24290</v>
      </c>
      <c r="BD85" s="116">
        <v>24890</v>
      </c>
      <c r="BE85" s="116">
        <v>24820</v>
      </c>
      <c r="BF85" s="116">
        <v>24710</v>
      </c>
    </row>
    <row r="86" spans="1:58" ht="12.75">
      <c r="A86" s="118" t="s">
        <v>386</v>
      </c>
      <c r="B86" s="11"/>
      <c r="C86" s="116">
        <v>9480</v>
      </c>
      <c r="D86" s="116">
        <v>9640</v>
      </c>
      <c r="E86" s="116">
        <v>9970</v>
      </c>
      <c r="F86" s="116">
        <v>9680</v>
      </c>
      <c r="G86" s="116">
        <v>9510</v>
      </c>
      <c r="H86" s="116">
        <v>9710</v>
      </c>
      <c r="I86" s="116">
        <v>9990</v>
      </c>
      <c r="J86" s="116">
        <v>10200</v>
      </c>
      <c r="K86" s="116">
        <v>10700</v>
      </c>
      <c r="L86" s="116">
        <v>11200</v>
      </c>
      <c r="M86" s="116">
        <v>11490</v>
      </c>
      <c r="N86" s="116">
        <v>12780</v>
      </c>
      <c r="O86" s="116">
        <v>13760</v>
      </c>
      <c r="P86" s="116">
        <v>13880</v>
      </c>
      <c r="Q86" s="116">
        <v>12580</v>
      </c>
      <c r="R86" s="116">
        <v>14130</v>
      </c>
      <c r="S86" s="116">
        <v>14650</v>
      </c>
      <c r="T86" s="116">
        <v>15380</v>
      </c>
      <c r="U86" s="116">
        <v>18220</v>
      </c>
      <c r="V86" s="116">
        <v>18090</v>
      </c>
      <c r="W86" s="116">
        <v>18020</v>
      </c>
      <c r="X86" s="116">
        <v>18260</v>
      </c>
      <c r="Y86" s="116">
        <v>18220</v>
      </c>
      <c r="Z86" s="116">
        <v>18640</v>
      </c>
      <c r="AA86" s="116">
        <v>18870</v>
      </c>
      <c r="AB86" s="116">
        <v>19410</v>
      </c>
      <c r="AC86" s="116">
        <v>19960</v>
      </c>
      <c r="AD86" s="116">
        <v>20840</v>
      </c>
      <c r="AE86" s="116">
        <v>21330</v>
      </c>
      <c r="AF86" s="116">
        <v>21510</v>
      </c>
      <c r="AG86" s="116">
        <v>22630</v>
      </c>
      <c r="AH86" s="116">
        <v>23020</v>
      </c>
      <c r="AI86" s="116">
        <v>23790</v>
      </c>
      <c r="AJ86" s="116">
        <v>24320</v>
      </c>
      <c r="AK86" s="116">
        <v>24290</v>
      </c>
      <c r="AL86" s="116">
        <v>24130</v>
      </c>
      <c r="AM86" s="116">
        <v>23330</v>
      </c>
      <c r="AN86" s="116">
        <v>23110</v>
      </c>
      <c r="AO86" s="116">
        <v>22990</v>
      </c>
      <c r="AP86" s="116">
        <v>23240</v>
      </c>
      <c r="AQ86" s="116">
        <v>23640</v>
      </c>
      <c r="AR86" s="116">
        <v>23530</v>
      </c>
      <c r="AS86" s="116">
        <v>24060</v>
      </c>
      <c r="AT86" s="116">
        <v>23880</v>
      </c>
      <c r="AU86" s="116">
        <v>23000</v>
      </c>
      <c r="AV86" s="116">
        <v>22290</v>
      </c>
      <c r="AW86" s="116">
        <v>21750</v>
      </c>
      <c r="AX86" s="116">
        <v>21270</v>
      </c>
      <c r="AY86" s="116">
        <v>21290</v>
      </c>
      <c r="AZ86" s="116">
        <v>21120</v>
      </c>
      <c r="BA86" s="116">
        <v>21780</v>
      </c>
      <c r="BB86" s="116">
        <v>22440</v>
      </c>
      <c r="BC86" s="116">
        <v>23100</v>
      </c>
      <c r="BD86" s="116">
        <v>23740</v>
      </c>
      <c r="BE86" s="116">
        <v>24320</v>
      </c>
      <c r="BF86" s="116">
        <v>24260</v>
      </c>
    </row>
    <row r="87" spans="1:58" ht="12.75">
      <c r="A87" s="118" t="s">
        <v>387</v>
      </c>
      <c r="B87" s="11"/>
      <c r="C87" s="116">
        <v>9060</v>
      </c>
      <c r="D87" s="116">
        <v>9050</v>
      </c>
      <c r="E87" s="116">
        <v>9210</v>
      </c>
      <c r="F87" s="116">
        <v>9540</v>
      </c>
      <c r="G87" s="116">
        <v>9270</v>
      </c>
      <c r="H87" s="116">
        <v>9120</v>
      </c>
      <c r="I87" s="116">
        <v>9310</v>
      </c>
      <c r="J87" s="116">
        <v>9590</v>
      </c>
      <c r="K87" s="116">
        <v>9800</v>
      </c>
      <c r="L87" s="116">
        <v>10290</v>
      </c>
      <c r="M87" s="116">
        <v>10780</v>
      </c>
      <c r="N87" s="116">
        <v>11070</v>
      </c>
      <c r="O87" s="116">
        <v>12320</v>
      </c>
      <c r="P87" s="116">
        <v>13260</v>
      </c>
      <c r="Q87" s="116">
        <v>13390</v>
      </c>
      <c r="R87" s="116">
        <v>12140</v>
      </c>
      <c r="S87" s="116">
        <v>13650</v>
      </c>
      <c r="T87" s="116">
        <v>14160</v>
      </c>
      <c r="U87" s="116">
        <v>14860</v>
      </c>
      <c r="V87" s="116">
        <v>17620</v>
      </c>
      <c r="W87" s="116">
        <v>17510</v>
      </c>
      <c r="X87" s="116">
        <v>17450</v>
      </c>
      <c r="Y87" s="116">
        <v>17680</v>
      </c>
      <c r="Z87" s="116">
        <v>17650</v>
      </c>
      <c r="AA87" s="116">
        <v>18070</v>
      </c>
      <c r="AB87" s="116">
        <v>18290</v>
      </c>
      <c r="AC87" s="116">
        <v>18830</v>
      </c>
      <c r="AD87" s="116">
        <v>19360</v>
      </c>
      <c r="AE87" s="116">
        <v>20230</v>
      </c>
      <c r="AF87" s="116">
        <v>20710</v>
      </c>
      <c r="AG87" s="116">
        <v>20890</v>
      </c>
      <c r="AH87" s="116">
        <v>21990</v>
      </c>
      <c r="AI87" s="116">
        <v>22370</v>
      </c>
      <c r="AJ87" s="116">
        <v>23120</v>
      </c>
      <c r="AK87" s="116">
        <v>23640</v>
      </c>
      <c r="AL87" s="116">
        <v>23620</v>
      </c>
      <c r="AM87" s="116">
        <v>23470</v>
      </c>
      <c r="AN87" s="116">
        <v>22700</v>
      </c>
      <c r="AO87" s="116">
        <v>22480</v>
      </c>
      <c r="AP87" s="116">
        <v>22370</v>
      </c>
      <c r="AQ87" s="116">
        <v>22620</v>
      </c>
      <c r="AR87" s="116">
        <v>23020</v>
      </c>
      <c r="AS87" s="116">
        <v>22910</v>
      </c>
      <c r="AT87" s="116">
        <v>23420</v>
      </c>
      <c r="AU87" s="116">
        <v>23260</v>
      </c>
      <c r="AV87" s="116">
        <v>22400</v>
      </c>
      <c r="AW87" s="116">
        <v>21710</v>
      </c>
      <c r="AX87" s="116">
        <v>21190</v>
      </c>
      <c r="AY87" s="116">
        <v>20720</v>
      </c>
      <c r="AZ87" s="116">
        <v>20740</v>
      </c>
      <c r="BA87" s="116">
        <v>20580</v>
      </c>
      <c r="BB87" s="116">
        <v>21220</v>
      </c>
      <c r="BC87" s="116">
        <v>21870</v>
      </c>
      <c r="BD87" s="116">
        <v>22510</v>
      </c>
      <c r="BE87" s="116">
        <v>23130</v>
      </c>
      <c r="BF87" s="116">
        <v>23700</v>
      </c>
    </row>
    <row r="88" spans="1:58" ht="12.75">
      <c r="A88" s="118" t="s">
        <v>388</v>
      </c>
      <c r="B88" s="11"/>
      <c r="C88" s="116">
        <v>8220</v>
      </c>
      <c r="D88" s="116">
        <v>8610</v>
      </c>
      <c r="E88" s="116">
        <v>8610</v>
      </c>
      <c r="F88" s="116">
        <v>8770</v>
      </c>
      <c r="G88" s="116">
        <v>9090</v>
      </c>
      <c r="H88" s="116">
        <v>8840</v>
      </c>
      <c r="I88" s="116">
        <v>8710</v>
      </c>
      <c r="J88" s="116">
        <v>8900</v>
      </c>
      <c r="K88" s="116">
        <v>9170</v>
      </c>
      <c r="L88" s="116">
        <v>9380</v>
      </c>
      <c r="M88" s="116">
        <v>9860</v>
      </c>
      <c r="N88" s="116">
        <v>10340</v>
      </c>
      <c r="O88" s="116">
        <v>10620</v>
      </c>
      <c r="P88" s="116">
        <v>11820</v>
      </c>
      <c r="Q88" s="116">
        <v>12740</v>
      </c>
      <c r="R88" s="116">
        <v>12870</v>
      </c>
      <c r="S88" s="116">
        <v>11680</v>
      </c>
      <c r="T88" s="116">
        <v>13140</v>
      </c>
      <c r="U88" s="116">
        <v>13630</v>
      </c>
      <c r="V88" s="116">
        <v>14320</v>
      </c>
      <c r="W88" s="116">
        <v>16980</v>
      </c>
      <c r="X88" s="116">
        <v>16880</v>
      </c>
      <c r="Y88" s="116">
        <v>16830</v>
      </c>
      <c r="Z88" s="116">
        <v>17070</v>
      </c>
      <c r="AA88" s="116">
        <v>17050</v>
      </c>
      <c r="AB88" s="116">
        <v>17460</v>
      </c>
      <c r="AC88" s="116">
        <v>17680</v>
      </c>
      <c r="AD88" s="116">
        <v>18200</v>
      </c>
      <c r="AE88" s="116">
        <v>18730</v>
      </c>
      <c r="AF88" s="116">
        <v>19570</v>
      </c>
      <c r="AG88" s="116">
        <v>20050</v>
      </c>
      <c r="AH88" s="116">
        <v>20230</v>
      </c>
      <c r="AI88" s="116">
        <v>21290</v>
      </c>
      <c r="AJ88" s="116">
        <v>21670</v>
      </c>
      <c r="AK88" s="116">
        <v>22400</v>
      </c>
      <c r="AL88" s="116">
        <v>22920</v>
      </c>
      <c r="AM88" s="116">
        <v>22900</v>
      </c>
      <c r="AN88" s="116">
        <v>22760</v>
      </c>
      <c r="AO88" s="116">
        <v>22010</v>
      </c>
      <c r="AP88" s="116">
        <v>21810</v>
      </c>
      <c r="AQ88" s="116">
        <v>21710</v>
      </c>
      <c r="AR88" s="116">
        <v>21950</v>
      </c>
      <c r="AS88" s="116">
        <v>22340</v>
      </c>
      <c r="AT88" s="116">
        <v>22240</v>
      </c>
      <c r="AU88" s="116">
        <v>22740</v>
      </c>
      <c r="AV88" s="116">
        <v>22580</v>
      </c>
      <c r="AW88" s="116">
        <v>21760</v>
      </c>
      <c r="AX88" s="116">
        <v>21090</v>
      </c>
      <c r="AY88" s="116">
        <v>20590</v>
      </c>
      <c r="AZ88" s="116">
        <v>20130</v>
      </c>
      <c r="BA88" s="116">
        <v>20150</v>
      </c>
      <c r="BB88" s="116">
        <v>19990</v>
      </c>
      <c r="BC88" s="116">
        <v>20620</v>
      </c>
      <c r="BD88" s="116">
        <v>21250</v>
      </c>
      <c r="BE88" s="116">
        <v>21870</v>
      </c>
      <c r="BF88" s="116">
        <v>22480</v>
      </c>
    </row>
    <row r="89" spans="1:58" ht="12.75">
      <c r="A89" s="118" t="s">
        <v>389</v>
      </c>
      <c r="B89" s="11"/>
      <c r="C89" s="116">
        <v>7520</v>
      </c>
      <c r="D89" s="116">
        <v>7760</v>
      </c>
      <c r="E89" s="116">
        <v>8140</v>
      </c>
      <c r="F89" s="116">
        <v>8150</v>
      </c>
      <c r="G89" s="116">
        <v>8310</v>
      </c>
      <c r="H89" s="116">
        <v>8630</v>
      </c>
      <c r="I89" s="116">
        <v>8400</v>
      </c>
      <c r="J89" s="116">
        <v>8280</v>
      </c>
      <c r="K89" s="116">
        <v>8470</v>
      </c>
      <c r="L89" s="116">
        <v>8740</v>
      </c>
      <c r="M89" s="116">
        <v>8950</v>
      </c>
      <c r="N89" s="116">
        <v>9410</v>
      </c>
      <c r="O89" s="116">
        <v>9870</v>
      </c>
      <c r="P89" s="116">
        <v>10140</v>
      </c>
      <c r="Q89" s="116">
        <v>11300</v>
      </c>
      <c r="R89" s="116">
        <v>12190</v>
      </c>
      <c r="S89" s="116">
        <v>12330</v>
      </c>
      <c r="T89" s="116">
        <v>11190</v>
      </c>
      <c r="U89" s="116">
        <v>12590</v>
      </c>
      <c r="V89" s="116">
        <v>13080</v>
      </c>
      <c r="W89" s="116">
        <v>13750</v>
      </c>
      <c r="X89" s="116">
        <v>16310</v>
      </c>
      <c r="Y89" s="116">
        <v>16220</v>
      </c>
      <c r="Z89" s="116">
        <v>16180</v>
      </c>
      <c r="AA89" s="116">
        <v>16410</v>
      </c>
      <c r="AB89" s="116">
        <v>16410</v>
      </c>
      <c r="AC89" s="116">
        <v>16800</v>
      </c>
      <c r="AD89" s="116">
        <v>17030</v>
      </c>
      <c r="AE89" s="116">
        <v>17540</v>
      </c>
      <c r="AF89" s="116">
        <v>18050</v>
      </c>
      <c r="AG89" s="116">
        <v>18870</v>
      </c>
      <c r="AH89" s="116">
        <v>19340</v>
      </c>
      <c r="AI89" s="116">
        <v>19520</v>
      </c>
      <c r="AJ89" s="116">
        <v>20550</v>
      </c>
      <c r="AK89" s="116">
        <v>20920</v>
      </c>
      <c r="AL89" s="116">
        <v>21630</v>
      </c>
      <c r="AM89" s="116">
        <v>22140</v>
      </c>
      <c r="AN89" s="116">
        <v>22120</v>
      </c>
      <c r="AO89" s="116">
        <v>22000</v>
      </c>
      <c r="AP89" s="116">
        <v>21280</v>
      </c>
      <c r="AQ89" s="116">
        <v>21090</v>
      </c>
      <c r="AR89" s="116">
        <v>20990</v>
      </c>
      <c r="AS89" s="116">
        <v>21230</v>
      </c>
      <c r="AT89" s="116">
        <v>21610</v>
      </c>
      <c r="AU89" s="116">
        <v>21520</v>
      </c>
      <c r="AV89" s="116">
        <v>22010</v>
      </c>
      <c r="AW89" s="116">
        <v>21860</v>
      </c>
      <c r="AX89" s="116">
        <v>21060</v>
      </c>
      <c r="AY89" s="116">
        <v>20420</v>
      </c>
      <c r="AZ89" s="116">
        <v>19930</v>
      </c>
      <c r="BA89" s="116">
        <v>19490</v>
      </c>
      <c r="BB89" s="116">
        <v>19510</v>
      </c>
      <c r="BC89" s="116">
        <v>19360</v>
      </c>
      <c r="BD89" s="116">
        <v>19970</v>
      </c>
      <c r="BE89" s="116">
        <v>20580</v>
      </c>
      <c r="BF89" s="116">
        <v>21180</v>
      </c>
    </row>
    <row r="90" spans="1:58" ht="12.75">
      <c r="A90" s="118" t="s">
        <v>390</v>
      </c>
      <c r="B90" s="11"/>
      <c r="C90" s="116">
        <v>6900</v>
      </c>
      <c r="D90" s="116">
        <v>7060</v>
      </c>
      <c r="E90" s="116">
        <v>7290</v>
      </c>
      <c r="F90" s="116">
        <v>7650</v>
      </c>
      <c r="G90" s="116">
        <v>7670</v>
      </c>
      <c r="H90" s="116">
        <v>7830</v>
      </c>
      <c r="I90" s="116">
        <v>8140</v>
      </c>
      <c r="J90" s="116">
        <v>7930</v>
      </c>
      <c r="K90" s="116">
        <v>7830</v>
      </c>
      <c r="L90" s="116">
        <v>8020</v>
      </c>
      <c r="M90" s="116">
        <v>8280</v>
      </c>
      <c r="N90" s="116">
        <v>8490</v>
      </c>
      <c r="O90" s="116">
        <v>8930</v>
      </c>
      <c r="P90" s="116">
        <v>9380</v>
      </c>
      <c r="Q90" s="116">
        <v>9650</v>
      </c>
      <c r="R90" s="116">
        <v>10760</v>
      </c>
      <c r="S90" s="116">
        <v>11610</v>
      </c>
      <c r="T90" s="116">
        <v>11750</v>
      </c>
      <c r="U90" s="116">
        <v>10680</v>
      </c>
      <c r="V90" s="116">
        <v>12020</v>
      </c>
      <c r="W90" s="116">
        <v>12490</v>
      </c>
      <c r="X90" s="116">
        <v>13140</v>
      </c>
      <c r="Y90" s="116">
        <v>15590</v>
      </c>
      <c r="Z90" s="116">
        <v>15520</v>
      </c>
      <c r="AA90" s="116">
        <v>15490</v>
      </c>
      <c r="AB90" s="116">
        <v>15720</v>
      </c>
      <c r="AC90" s="116">
        <v>15720</v>
      </c>
      <c r="AD90" s="116">
        <v>16110</v>
      </c>
      <c r="AE90" s="116">
        <v>16340</v>
      </c>
      <c r="AF90" s="116">
        <v>16830</v>
      </c>
      <c r="AG90" s="116">
        <v>17330</v>
      </c>
      <c r="AH90" s="116">
        <v>18130</v>
      </c>
      <c r="AI90" s="116">
        <v>18580</v>
      </c>
      <c r="AJ90" s="116">
        <v>18760</v>
      </c>
      <c r="AK90" s="116">
        <v>19760</v>
      </c>
      <c r="AL90" s="116">
        <v>20120</v>
      </c>
      <c r="AM90" s="116">
        <v>20810</v>
      </c>
      <c r="AN90" s="116">
        <v>21300</v>
      </c>
      <c r="AO90" s="116">
        <v>21300</v>
      </c>
      <c r="AP90" s="116">
        <v>21180</v>
      </c>
      <c r="AQ90" s="116">
        <v>20500</v>
      </c>
      <c r="AR90" s="116">
        <v>20320</v>
      </c>
      <c r="AS90" s="116">
        <v>20230</v>
      </c>
      <c r="AT90" s="116">
        <v>20460</v>
      </c>
      <c r="AU90" s="116">
        <v>20830</v>
      </c>
      <c r="AV90" s="116">
        <v>20750</v>
      </c>
      <c r="AW90" s="116">
        <v>21220</v>
      </c>
      <c r="AX90" s="116">
        <v>21080</v>
      </c>
      <c r="AY90" s="116">
        <v>20310</v>
      </c>
      <c r="AZ90" s="116">
        <v>19690</v>
      </c>
      <c r="BA90" s="116">
        <v>19230</v>
      </c>
      <c r="BB90" s="116">
        <v>18810</v>
      </c>
      <c r="BC90" s="116">
        <v>18830</v>
      </c>
      <c r="BD90" s="116">
        <v>18680</v>
      </c>
      <c r="BE90" s="116">
        <v>19270</v>
      </c>
      <c r="BF90" s="116">
        <v>19860</v>
      </c>
    </row>
    <row r="91" spans="1:58" ht="12.75">
      <c r="A91" s="118" t="s">
        <v>391</v>
      </c>
      <c r="B91" s="11"/>
      <c r="C91" s="116">
        <v>5900</v>
      </c>
      <c r="D91" s="116">
        <v>6420</v>
      </c>
      <c r="E91" s="116">
        <v>6580</v>
      </c>
      <c r="F91" s="116">
        <v>6800</v>
      </c>
      <c r="G91" s="116">
        <v>7150</v>
      </c>
      <c r="H91" s="116">
        <v>7180</v>
      </c>
      <c r="I91" s="116">
        <v>7340</v>
      </c>
      <c r="J91" s="116">
        <v>7640</v>
      </c>
      <c r="K91" s="116">
        <v>7450</v>
      </c>
      <c r="L91" s="116">
        <v>7360</v>
      </c>
      <c r="M91" s="116">
        <v>7550</v>
      </c>
      <c r="N91" s="116">
        <v>7810</v>
      </c>
      <c r="O91" s="116">
        <v>8010</v>
      </c>
      <c r="P91" s="116">
        <v>8440</v>
      </c>
      <c r="Q91" s="116">
        <v>8870</v>
      </c>
      <c r="R91" s="116">
        <v>9130</v>
      </c>
      <c r="S91" s="116">
        <v>10190</v>
      </c>
      <c r="T91" s="116">
        <v>11000</v>
      </c>
      <c r="U91" s="116">
        <v>11150</v>
      </c>
      <c r="V91" s="116">
        <v>10140</v>
      </c>
      <c r="W91" s="116">
        <v>11420</v>
      </c>
      <c r="X91" s="116">
        <v>11870</v>
      </c>
      <c r="Y91" s="116">
        <v>12500</v>
      </c>
      <c r="Z91" s="116">
        <v>14840</v>
      </c>
      <c r="AA91" s="116">
        <v>14780</v>
      </c>
      <c r="AB91" s="116">
        <v>14760</v>
      </c>
      <c r="AC91" s="116">
        <v>14990</v>
      </c>
      <c r="AD91" s="116">
        <v>15000</v>
      </c>
      <c r="AE91" s="116">
        <v>15380</v>
      </c>
      <c r="AF91" s="116">
        <v>15600</v>
      </c>
      <c r="AG91" s="116">
        <v>16080</v>
      </c>
      <c r="AH91" s="116">
        <v>16570</v>
      </c>
      <c r="AI91" s="116">
        <v>17340</v>
      </c>
      <c r="AJ91" s="116">
        <v>17770</v>
      </c>
      <c r="AK91" s="116">
        <v>17950</v>
      </c>
      <c r="AL91" s="116">
        <v>18920</v>
      </c>
      <c r="AM91" s="116">
        <v>19270</v>
      </c>
      <c r="AN91" s="116">
        <v>19940</v>
      </c>
      <c r="AO91" s="116">
        <v>20420</v>
      </c>
      <c r="AP91" s="116">
        <v>20410</v>
      </c>
      <c r="AQ91" s="116">
        <v>20310</v>
      </c>
      <c r="AR91" s="116">
        <v>19660</v>
      </c>
      <c r="AS91" s="116">
        <v>19490</v>
      </c>
      <c r="AT91" s="116">
        <v>19410</v>
      </c>
      <c r="AU91" s="116">
        <v>19640</v>
      </c>
      <c r="AV91" s="116">
        <v>20000</v>
      </c>
      <c r="AW91" s="116">
        <v>19920</v>
      </c>
      <c r="AX91" s="116">
        <v>20370</v>
      </c>
      <c r="AY91" s="116">
        <v>20240</v>
      </c>
      <c r="AZ91" s="116">
        <v>19510</v>
      </c>
      <c r="BA91" s="116">
        <v>18910</v>
      </c>
      <c r="BB91" s="116">
        <v>18470</v>
      </c>
      <c r="BC91" s="116">
        <v>18060</v>
      </c>
      <c r="BD91" s="116">
        <v>18090</v>
      </c>
      <c r="BE91" s="116">
        <v>17950</v>
      </c>
      <c r="BF91" s="116">
        <v>18510</v>
      </c>
    </row>
    <row r="92" spans="1:58" ht="12.75">
      <c r="A92" s="118" t="s">
        <v>392</v>
      </c>
      <c r="B92" s="11"/>
      <c r="C92" s="116">
        <v>5210</v>
      </c>
      <c r="D92" s="116">
        <v>5440</v>
      </c>
      <c r="E92" s="116">
        <v>5930</v>
      </c>
      <c r="F92" s="116">
        <v>6090</v>
      </c>
      <c r="G92" s="116">
        <v>6310</v>
      </c>
      <c r="H92" s="116">
        <v>6640</v>
      </c>
      <c r="I92" s="116">
        <v>6670</v>
      </c>
      <c r="J92" s="116">
        <v>6830</v>
      </c>
      <c r="K92" s="116">
        <v>7120</v>
      </c>
      <c r="L92" s="116">
        <v>6960</v>
      </c>
      <c r="M92" s="116">
        <v>6880</v>
      </c>
      <c r="N92" s="116">
        <v>7070</v>
      </c>
      <c r="O92" s="116">
        <v>7310</v>
      </c>
      <c r="P92" s="116">
        <v>7510</v>
      </c>
      <c r="Q92" s="116">
        <v>7920</v>
      </c>
      <c r="R92" s="116">
        <v>8330</v>
      </c>
      <c r="S92" s="116">
        <v>8590</v>
      </c>
      <c r="T92" s="116">
        <v>9600</v>
      </c>
      <c r="U92" s="116">
        <v>10370</v>
      </c>
      <c r="V92" s="116">
        <v>10510</v>
      </c>
      <c r="W92" s="116">
        <v>9570</v>
      </c>
      <c r="X92" s="116">
        <v>10790</v>
      </c>
      <c r="Y92" s="116">
        <v>11230</v>
      </c>
      <c r="Z92" s="116">
        <v>11830</v>
      </c>
      <c r="AA92" s="116">
        <v>14050</v>
      </c>
      <c r="AB92" s="116">
        <v>14010</v>
      </c>
      <c r="AC92" s="116">
        <v>14000</v>
      </c>
      <c r="AD92" s="116">
        <v>14220</v>
      </c>
      <c r="AE92" s="116">
        <v>14240</v>
      </c>
      <c r="AF92" s="116">
        <v>14610</v>
      </c>
      <c r="AG92" s="116">
        <v>14830</v>
      </c>
      <c r="AH92" s="116">
        <v>15290</v>
      </c>
      <c r="AI92" s="116">
        <v>15760</v>
      </c>
      <c r="AJ92" s="116">
        <v>16500</v>
      </c>
      <c r="AK92" s="116">
        <v>16920</v>
      </c>
      <c r="AL92" s="116">
        <v>17100</v>
      </c>
      <c r="AM92" s="116">
        <v>18020</v>
      </c>
      <c r="AN92" s="116">
        <v>18370</v>
      </c>
      <c r="AO92" s="116">
        <v>19010</v>
      </c>
      <c r="AP92" s="116">
        <v>19470</v>
      </c>
      <c r="AQ92" s="116">
        <v>19470</v>
      </c>
      <c r="AR92" s="116">
        <v>19380</v>
      </c>
      <c r="AS92" s="116">
        <v>18760</v>
      </c>
      <c r="AT92" s="116">
        <v>18610</v>
      </c>
      <c r="AU92" s="116">
        <v>18530</v>
      </c>
      <c r="AV92" s="116">
        <v>18760</v>
      </c>
      <c r="AW92" s="116">
        <v>19100</v>
      </c>
      <c r="AX92" s="116">
        <v>19030</v>
      </c>
      <c r="AY92" s="116">
        <v>19470</v>
      </c>
      <c r="AZ92" s="116">
        <v>19340</v>
      </c>
      <c r="BA92" s="116">
        <v>18650</v>
      </c>
      <c r="BB92" s="116">
        <v>18080</v>
      </c>
      <c r="BC92" s="116">
        <v>17650</v>
      </c>
      <c r="BD92" s="116">
        <v>17270</v>
      </c>
      <c r="BE92" s="116">
        <v>17290</v>
      </c>
      <c r="BF92" s="116">
        <v>17160</v>
      </c>
    </row>
    <row r="93" spans="1:58" ht="12.75">
      <c r="A93" s="118" t="s">
        <v>393</v>
      </c>
      <c r="B93" s="11"/>
      <c r="C93" s="116">
        <v>4650</v>
      </c>
      <c r="D93" s="116">
        <v>4750</v>
      </c>
      <c r="E93" s="116">
        <v>4980</v>
      </c>
      <c r="F93" s="116">
        <v>5430</v>
      </c>
      <c r="G93" s="116">
        <v>5590</v>
      </c>
      <c r="H93" s="116">
        <v>5800</v>
      </c>
      <c r="I93" s="116">
        <v>6110</v>
      </c>
      <c r="J93" s="116">
        <v>6160</v>
      </c>
      <c r="K93" s="116">
        <v>6320</v>
      </c>
      <c r="L93" s="116">
        <v>6590</v>
      </c>
      <c r="M93" s="116">
        <v>6450</v>
      </c>
      <c r="N93" s="116">
        <v>6390</v>
      </c>
      <c r="O93" s="116">
        <v>6570</v>
      </c>
      <c r="P93" s="116">
        <v>6800</v>
      </c>
      <c r="Q93" s="116">
        <v>7000</v>
      </c>
      <c r="R93" s="116">
        <v>7390</v>
      </c>
      <c r="S93" s="116">
        <v>7780</v>
      </c>
      <c r="T93" s="116">
        <v>8030</v>
      </c>
      <c r="U93" s="116">
        <v>8980</v>
      </c>
      <c r="V93" s="116">
        <v>9710</v>
      </c>
      <c r="W93" s="116">
        <v>9850</v>
      </c>
      <c r="X93" s="116">
        <v>8980</v>
      </c>
      <c r="Y93" s="116">
        <v>10130</v>
      </c>
      <c r="Z93" s="116">
        <v>10550</v>
      </c>
      <c r="AA93" s="116">
        <v>11120</v>
      </c>
      <c r="AB93" s="116">
        <v>13230</v>
      </c>
      <c r="AC93" s="116">
        <v>13190</v>
      </c>
      <c r="AD93" s="116">
        <v>13190</v>
      </c>
      <c r="AE93" s="116">
        <v>13410</v>
      </c>
      <c r="AF93" s="116">
        <v>13440</v>
      </c>
      <c r="AG93" s="116">
        <v>13790</v>
      </c>
      <c r="AH93" s="116">
        <v>14010</v>
      </c>
      <c r="AI93" s="116">
        <v>14450</v>
      </c>
      <c r="AJ93" s="116">
        <v>14900</v>
      </c>
      <c r="AK93" s="116">
        <v>15610</v>
      </c>
      <c r="AL93" s="116">
        <v>16020</v>
      </c>
      <c r="AM93" s="116">
        <v>16190</v>
      </c>
      <c r="AN93" s="116">
        <v>17080</v>
      </c>
      <c r="AO93" s="116">
        <v>17410</v>
      </c>
      <c r="AP93" s="116">
        <v>18020</v>
      </c>
      <c r="AQ93" s="116">
        <v>18470</v>
      </c>
      <c r="AR93" s="116">
        <v>18480</v>
      </c>
      <c r="AS93" s="116">
        <v>18390</v>
      </c>
      <c r="AT93" s="116">
        <v>17810</v>
      </c>
      <c r="AU93" s="116">
        <v>17670</v>
      </c>
      <c r="AV93" s="116">
        <v>17600</v>
      </c>
      <c r="AW93" s="116">
        <v>17820</v>
      </c>
      <c r="AX93" s="116">
        <v>18150</v>
      </c>
      <c r="AY93" s="116">
        <v>18080</v>
      </c>
      <c r="AZ93" s="116">
        <v>18500</v>
      </c>
      <c r="BA93" s="116">
        <v>18380</v>
      </c>
      <c r="BB93" s="116">
        <v>17720</v>
      </c>
      <c r="BC93" s="116">
        <v>17190</v>
      </c>
      <c r="BD93" s="116">
        <v>16780</v>
      </c>
      <c r="BE93" s="116">
        <v>16420</v>
      </c>
      <c r="BF93" s="116">
        <v>16440</v>
      </c>
    </row>
    <row r="94" spans="1:58" ht="12.75">
      <c r="A94" s="118" t="s">
        <v>394</v>
      </c>
      <c r="B94" s="11"/>
      <c r="C94" s="116">
        <v>3850</v>
      </c>
      <c r="D94" s="116">
        <v>4200</v>
      </c>
      <c r="E94" s="116">
        <v>4300</v>
      </c>
      <c r="F94" s="116">
        <v>4510</v>
      </c>
      <c r="G94" s="116">
        <v>4930</v>
      </c>
      <c r="H94" s="116">
        <v>5080</v>
      </c>
      <c r="I94" s="116">
        <v>5290</v>
      </c>
      <c r="J94" s="116">
        <v>5580</v>
      </c>
      <c r="K94" s="116">
        <v>5630</v>
      </c>
      <c r="L94" s="116">
        <v>5790</v>
      </c>
      <c r="M94" s="116">
        <v>6050</v>
      </c>
      <c r="N94" s="116">
        <v>5930</v>
      </c>
      <c r="O94" s="116">
        <v>5880</v>
      </c>
      <c r="P94" s="116">
        <v>6050</v>
      </c>
      <c r="Q94" s="116">
        <v>6280</v>
      </c>
      <c r="R94" s="116">
        <v>6470</v>
      </c>
      <c r="S94" s="116">
        <v>6840</v>
      </c>
      <c r="T94" s="116">
        <v>7210</v>
      </c>
      <c r="U94" s="116">
        <v>7450</v>
      </c>
      <c r="V94" s="116">
        <v>8340</v>
      </c>
      <c r="W94" s="116">
        <v>9030</v>
      </c>
      <c r="X94" s="116">
        <v>9170</v>
      </c>
      <c r="Y94" s="116">
        <v>8360</v>
      </c>
      <c r="Z94" s="116">
        <v>9450</v>
      </c>
      <c r="AA94" s="116">
        <v>9850</v>
      </c>
      <c r="AB94" s="116">
        <v>10390</v>
      </c>
      <c r="AC94" s="116">
        <v>12360</v>
      </c>
      <c r="AD94" s="116">
        <v>12340</v>
      </c>
      <c r="AE94" s="116">
        <v>12350</v>
      </c>
      <c r="AF94" s="116">
        <v>12570</v>
      </c>
      <c r="AG94" s="116">
        <v>12600</v>
      </c>
      <c r="AH94" s="116">
        <v>12940</v>
      </c>
      <c r="AI94" s="116">
        <v>13150</v>
      </c>
      <c r="AJ94" s="116">
        <v>13570</v>
      </c>
      <c r="AK94" s="116">
        <v>14000</v>
      </c>
      <c r="AL94" s="116">
        <v>14670</v>
      </c>
      <c r="AM94" s="116">
        <v>15070</v>
      </c>
      <c r="AN94" s="116">
        <v>15240</v>
      </c>
      <c r="AO94" s="116">
        <v>16080</v>
      </c>
      <c r="AP94" s="116">
        <v>16400</v>
      </c>
      <c r="AQ94" s="116">
        <v>16980</v>
      </c>
      <c r="AR94" s="116">
        <v>17400</v>
      </c>
      <c r="AS94" s="116">
        <v>17420</v>
      </c>
      <c r="AT94" s="116">
        <v>17340</v>
      </c>
      <c r="AU94" s="116">
        <v>16800</v>
      </c>
      <c r="AV94" s="116">
        <v>16670</v>
      </c>
      <c r="AW94" s="116">
        <v>16610</v>
      </c>
      <c r="AX94" s="116">
        <v>16820</v>
      </c>
      <c r="AY94" s="116">
        <v>17140</v>
      </c>
      <c r="AZ94" s="116">
        <v>17080</v>
      </c>
      <c r="BA94" s="116">
        <v>17470</v>
      </c>
      <c r="BB94" s="116">
        <v>17360</v>
      </c>
      <c r="BC94" s="116">
        <v>16740</v>
      </c>
      <c r="BD94" s="116">
        <v>16240</v>
      </c>
      <c r="BE94" s="116">
        <v>15860</v>
      </c>
      <c r="BF94" s="116">
        <v>15510</v>
      </c>
    </row>
    <row r="95" spans="1:58" ht="12.75">
      <c r="A95" s="118" t="s">
        <v>395</v>
      </c>
      <c r="B95" s="11"/>
      <c r="C95" s="116">
        <v>3290</v>
      </c>
      <c r="D95" s="116">
        <v>3420</v>
      </c>
      <c r="E95" s="116">
        <v>3740</v>
      </c>
      <c r="F95" s="116">
        <v>3840</v>
      </c>
      <c r="G95" s="116">
        <v>4040</v>
      </c>
      <c r="H95" s="116">
        <v>4430</v>
      </c>
      <c r="I95" s="116">
        <v>4580</v>
      </c>
      <c r="J95" s="116">
        <v>4770</v>
      </c>
      <c r="K95" s="116">
        <v>5050</v>
      </c>
      <c r="L95" s="116">
        <v>5100</v>
      </c>
      <c r="M95" s="116">
        <v>5250</v>
      </c>
      <c r="N95" s="116">
        <v>5500</v>
      </c>
      <c r="O95" s="116">
        <v>5400</v>
      </c>
      <c r="P95" s="116">
        <v>5360</v>
      </c>
      <c r="Q95" s="116">
        <v>5530</v>
      </c>
      <c r="R95" s="116">
        <v>5750</v>
      </c>
      <c r="S95" s="116">
        <v>5920</v>
      </c>
      <c r="T95" s="116">
        <v>6270</v>
      </c>
      <c r="U95" s="116">
        <v>6620</v>
      </c>
      <c r="V95" s="116">
        <v>6850</v>
      </c>
      <c r="W95" s="116">
        <v>7680</v>
      </c>
      <c r="X95" s="116">
        <v>8320</v>
      </c>
      <c r="Y95" s="116">
        <v>8460</v>
      </c>
      <c r="Z95" s="116">
        <v>7730</v>
      </c>
      <c r="AA95" s="116">
        <v>8740</v>
      </c>
      <c r="AB95" s="116">
        <v>9120</v>
      </c>
      <c r="AC95" s="116">
        <v>9630</v>
      </c>
      <c r="AD95" s="116">
        <v>11470</v>
      </c>
      <c r="AE95" s="116">
        <v>11450</v>
      </c>
      <c r="AF95" s="116">
        <v>11470</v>
      </c>
      <c r="AG95" s="116">
        <v>11680</v>
      </c>
      <c r="AH95" s="116">
        <v>11720</v>
      </c>
      <c r="AI95" s="116">
        <v>12050</v>
      </c>
      <c r="AJ95" s="116">
        <v>12250</v>
      </c>
      <c r="AK95" s="116">
        <v>12650</v>
      </c>
      <c r="AL95" s="116">
        <v>13060</v>
      </c>
      <c r="AM95" s="116">
        <v>13690</v>
      </c>
      <c r="AN95" s="116">
        <v>14070</v>
      </c>
      <c r="AO95" s="116">
        <v>14230</v>
      </c>
      <c r="AP95" s="116">
        <v>15020</v>
      </c>
      <c r="AQ95" s="116">
        <v>15330</v>
      </c>
      <c r="AR95" s="116">
        <v>15880</v>
      </c>
      <c r="AS95" s="116">
        <v>16280</v>
      </c>
      <c r="AT95" s="116">
        <v>16300</v>
      </c>
      <c r="AU95" s="116">
        <v>16240</v>
      </c>
      <c r="AV95" s="116">
        <v>15740</v>
      </c>
      <c r="AW95" s="116">
        <v>15620</v>
      </c>
      <c r="AX95" s="116">
        <v>15570</v>
      </c>
      <c r="AY95" s="116">
        <v>15760</v>
      </c>
      <c r="AZ95" s="116">
        <v>16060</v>
      </c>
      <c r="BA95" s="116">
        <v>16010</v>
      </c>
      <c r="BB95" s="116">
        <v>16390</v>
      </c>
      <c r="BC95" s="116">
        <v>16280</v>
      </c>
      <c r="BD95" s="116">
        <v>15700</v>
      </c>
      <c r="BE95" s="116">
        <v>15230</v>
      </c>
      <c r="BF95" s="116">
        <v>14870</v>
      </c>
    </row>
    <row r="96" spans="1:58" ht="12.75">
      <c r="A96" s="118" t="s">
        <v>396</v>
      </c>
      <c r="B96" s="11"/>
      <c r="C96" s="116">
        <v>2380</v>
      </c>
      <c r="D96" s="116">
        <v>2880</v>
      </c>
      <c r="E96" s="116">
        <v>3010</v>
      </c>
      <c r="F96" s="116">
        <v>3300</v>
      </c>
      <c r="G96" s="116">
        <v>3400</v>
      </c>
      <c r="H96" s="116">
        <v>3580</v>
      </c>
      <c r="I96" s="116">
        <v>3940</v>
      </c>
      <c r="J96" s="116">
        <v>4070</v>
      </c>
      <c r="K96" s="116">
        <v>4260</v>
      </c>
      <c r="L96" s="116">
        <v>4510</v>
      </c>
      <c r="M96" s="116">
        <v>4570</v>
      </c>
      <c r="N96" s="116">
        <v>4720</v>
      </c>
      <c r="O96" s="116">
        <v>4950</v>
      </c>
      <c r="P96" s="116">
        <v>4870</v>
      </c>
      <c r="Q96" s="116">
        <v>4840</v>
      </c>
      <c r="R96" s="116">
        <v>5000</v>
      </c>
      <c r="S96" s="116">
        <v>5210</v>
      </c>
      <c r="T96" s="116">
        <v>5380</v>
      </c>
      <c r="U96" s="116">
        <v>5700</v>
      </c>
      <c r="V96" s="116">
        <v>6030</v>
      </c>
      <c r="W96" s="116">
        <v>6240</v>
      </c>
      <c r="X96" s="116">
        <v>7000</v>
      </c>
      <c r="Y96" s="116">
        <v>7600</v>
      </c>
      <c r="Z96" s="116">
        <v>7740</v>
      </c>
      <c r="AA96" s="116">
        <v>7080</v>
      </c>
      <c r="AB96" s="116">
        <v>8010</v>
      </c>
      <c r="AC96" s="116">
        <v>8370</v>
      </c>
      <c r="AD96" s="116">
        <v>8840</v>
      </c>
      <c r="AE96" s="116">
        <v>10540</v>
      </c>
      <c r="AF96" s="116">
        <v>10540</v>
      </c>
      <c r="AG96" s="116">
        <v>10570</v>
      </c>
      <c r="AH96" s="116">
        <v>10770</v>
      </c>
      <c r="AI96" s="116">
        <v>10810</v>
      </c>
      <c r="AJ96" s="116">
        <v>11120</v>
      </c>
      <c r="AK96" s="116">
        <v>11320</v>
      </c>
      <c r="AL96" s="116">
        <v>11700</v>
      </c>
      <c r="AM96" s="116">
        <v>12080</v>
      </c>
      <c r="AN96" s="116">
        <v>12680</v>
      </c>
      <c r="AO96" s="116">
        <v>13030</v>
      </c>
      <c r="AP96" s="116">
        <v>13190</v>
      </c>
      <c r="AQ96" s="116">
        <v>13930</v>
      </c>
      <c r="AR96" s="116">
        <v>14220</v>
      </c>
      <c r="AS96" s="116">
        <v>14740</v>
      </c>
      <c r="AT96" s="116">
        <v>15120</v>
      </c>
      <c r="AU96" s="116">
        <v>15140</v>
      </c>
      <c r="AV96" s="116">
        <v>15090</v>
      </c>
      <c r="AW96" s="116">
        <v>14620</v>
      </c>
      <c r="AX96" s="116">
        <v>14520</v>
      </c>
      <c r="AY96" s="116">
        <v>14470</v>
      </c>
      <c r="AZ96" s="116">
        <v>14660</v>
      </c>
      <c r="BA96" s="116">
        <v>14940</v>
      </c>
      <c r="BB96" s="116">
        <v>14890</v>
      </c>
      <c r="BC96" s="116">
        <v>15240</v>
      </c>
      <c r="BD96" s="116">
        <v>15150</v>
      </c>
      <c r="BE96" s="116">
        <v>14610</v>
      </c>
      <c r="BF96" s="116">
        <v>14170</v>
      </c>
    </row>
    <row r="97" spans="1:58" ht="12.75">
      <c r="A97" s="118" t="s">
        <v>397</v>
      </c>
      <c r="B97" s="11"/>
      <c r="C97" s="116">
        <v>1930</v>
      </c>
      <c r="D97" s="116">
        <v>2060</v>
      </c>
      <c r="E97" s="116">
        <v>2490</v>
      </c>
      <c r="F97" s="116">
        <v>2610</v>
      </c>
      <c r="G97" s="116">
        <v>2870</v>
      </c>
      <c r="H97" s="116">
        <v>2970</v>
      </c>
      <c r="I97" s="116">
        <v>3140</v>
      </c>
      <c r="J97" s="116">
        <v>3450</v>
      </c>
      <c r="K97" s="116">
        <v>3580</v>
      </c>
      <c r="L97" s="116">
        <v>3750</v>
      </c>
      <c r="M97" s="116">
        <v>3990</v>
      </c>
      <c r="N97" s="116">
        <v>4050</v>
      </c>
      <c r="O97" s="116">
        <v>4190</v>
      </c>
      <c r="P97" s="116">
        <v>4400</v>
      </c>
      <c r="Q97" s="116">
        <v>4340</v>
      </c>
      <c r="R97" s="116">
        <v>4330</v>
      </c>
      <c r="S97" s="116">
        <v>4480</v>
      </c>
      <c r="T97" s="116">
        <v>4670</v>
      </c>
      <c r="U97" s="116">
        <v>4830</v>
      </c>
      <c r="V97" s="116">
        <v>5130</v>
      </c>
      <c r="W97" s="116">
        <v>5430</v>
      </c>
      <c r="X97" s="116">
        <v>5630</v>
      </c>
      <c r="Y97" s="116">
        <v>6330</v>
      </c>
      <c r="Z97" s="116">
        <v>6880</v>
      </c>
      <c r="AA97" s="116">
        <v>7010</v>
      </c>
      <c r="AB97" s="116">
        <v>6420</v>
      </c>
      <c r="AC97" s="116">
        <v>7280</v>
      </c>
      <c r="AD97" s="116">
        <v>7610</v>
      </c>
      <c r="AE97" s="116">
        <v>8050</v>
      </c>
      <c r="AF97" s="116">
        <v>9610</v>
      </c>
      <c r="AG97" s="116">
        <v>9610</v>
      </c>
      <c r="AH97" s="116">
        <v>9650</v>
      </c>
      <c r="AI97" s="116">
        <v>9840</v>
      </c>
      <c r="AJ97" s="116">
        <v>9890</v>
      </c>
      <c r="AK97" s="116">
        <v>10180</v>
      </c>
      <c r="AL97" s="116">
        <v>10360</v>
      </c>
      <c r="AM97" s="116">
        <v>10720</v>
      </c>
      <c r="AN97" s="116">
        <v>11080</v>
      </c>
      <c r="AO97" s="116">
        <v>11630</v>
      </c>
      <c r="AP97" s="116">
        <v>11960</v>
      </c>
      <c r="AQ97" s="116">
        <v>12120</v>
      </c>
      <c r="AR97" s="116">
        <v>12800</v>
      </c>
      <c r="AS97" s="116">
        <v>13080</v>
      </c>
      <c r="AT97" s="116">
        <v>13560</v>
      </c>
      <c r="AU97" s="116">
        <v>13910</v>
      </c>
      <c r="AV97" s="116">
        <v>13940</v>
      </c>
      <c r="AW97" s="116">
        <v>13890</v>
      </c>
      <c r="AX97" s="116">
        <v>13470</v>
      </c>
      <c r="AY97" s="116">
        <v>13380</v>
      </c>
      <c r="AZ97" s="116">
        <v>13340</v>
      </c>
      <c r="BA97" s="116">
        <v>13510</v>
      </c>
      <c r="BB97" s="116">
        <v>13770</v>
      </c>
      <c r="BC97" s="116">
        <v>13730</v>
      </c>
      <c r="BD97" s="116">
        <v>14060</v>
      </c>
      <c r="BE97" s="116">
        <v>13970</v>
      </c>
      <c r="BF97" s="116">
        <v>13470</v>
      </c>
    </row>
    <row r="98" spans="1:58" ht="12.75">
      <c r="A98" s="118" t="s">
        <v>398</v>
      </c>
      <c r="B98" s="11"/>
      <c r="C98" s="116">
        <v>1720</v>
      </c>
      <c r="D98" s="116">
        <v>1630</v>
      </c>
      <c r="E98" s="116">
        <v>1750</v>
      </c>
      <c r="F98" s="116">
        <v>2130</v>
      </c>
      <c r="G98" s="116">
        <v>2230</v>
      </c>
      <c r="H98" s="116">
        <v>2470</v>
      </c>
      <c r="I98" s="116">
        <v>2550</v>
      </c>
      <c r="J98" s="116">
        <v>2710</v>
      </c>
      <c r="K98" s="116">
        <v>2990</v>
      </c>
      <c r="L98" s="116">
        <v>3110</v>
      </c>
      <c r="M98" s="116">
        <v>3270</v>
      </c>
      <c r="N98" s="116">
        <v>3490</v>
      </c>
      <c r="O98" s="116">
        <v>3550</v>
      </c>
      <c r="P98" s="116">
        <v>3670</v>
      </c>
      <c r="Q98" s="116">
        <v>3870</v>
      </c>
      <c r="R98" s="116">
        <v>3820</v>
      </c>
      <c r="S98" s="116">
        <v>3820</v>
      </c>
      <c r="T98" s="116">
        <v>3960</v>
      </c>
      <c r="U98" s="116">
        <v>4140</v>
      </c>
      <c r="V98" s="116">
        <v>4290</v>
      </c>
      <c r="W98" s="116">
        <v>4560</v>
      </c>
      <c r="X98" s="116">
        <v>4840</v>
      </c>
      <c r="Y98" s="116">
        <v>5030</v>
      </c>
      <c r="Z98" s="116">
        <v>5660</v>
      </c>
      <c r="AA98" s="116">
        <v>6160</v>
      </c>
      <c r="AB98" s="116">
        <v>6290</v>
      </c>
      <c r="AC98" s="116">
        <v>5760</v>
      </c>
      <c r="AD98" s="116">
        <v>6540</v>
      </c>
      <c r="AE98" s="116">
        <v>6850</v>
      </c>
      <c r="AF98" s="116">
        <v>7250</v>
      </c>
      <c r="AG98" s="116">
        <v>8670</v>
      </c>
      <c r="AH98" s="116">
        <v>8680</v>
      </c>
      <c r="AI98" s="116">
        <v>8720</v>
      </c>
      <c r="AJ98" s="116">
        <v>8900</v>
      </c>
      <c r="AK98" s="116">
        <v>8950</v>
      </c>
      <c r="AL98" s="116">
        <v>9230</v>
      </c>
      <c r="AM98" s="116">
        <v>9400</v>
      </c>
      <c r="AN98" s="116">
        <v>9730</v>
      </c>
      <c r="AO98" s="116">
        <v>10070</v>
      </c>
      <c r="AP98" s="116">
        <v>10570</v>
      </c>
      <c r="AQ98" s="116">
        <v>10880</v>
      </c>
      <c r="AR98" s="116">
        <v>11030</v>
      </c>
      <c r="AS98" s="116">
        <v>11660</v>
      </c>
      <c r="AT98" s="116">
        <v>11910</v>
      </c>
      <c r="AU98" s="116">
        <v>12360</v>
      </c>
      <c r="AV98" s="116">
        <v>12690</v>
      </c>
      <c r="AW98" s="116">
        <v>12720</v>
      </c>
      <c r="AX98" s="116">
        <v>12680</v>
      </c>
      <c r="AY98" s="116">
        <v>12300</v>
      </c>
      <c r="AZ98" s="116">
        <v>12210</v>
      </c>
      <c r="BA98" s="116">
        <v>12180</v>
      </c>
      <c r="BB98" s="116">
        <v>12340</v>
      </c>
      <c r="BC98" s="116">
        <v>12580</v>
      </c>
      <c r="BD98" s="116">
        <v>12550</v>
      </c>
      <c r="BE98" s="116">
        <v>12840</v>
      </c>
      <c r="BF98" s="116">
        <v>12770</v>
      </c>
    </row>
    <row r="99" spans="1:58" ht="12.75">
      <c r="A99" s="118" t="s">
        <v>399</v>
      </c>
      <c r="B99" s="11"/>
      <c r="C99" s="116">
        <v>5020</v>
      </c>
      <c r="D99" s="116">
        <v>5310</v>
      </c>
      <c r="E99" s="116">
        <v>5490</v>
      </c>
      <c r="F99" s="116">
        <v>5760</v>
      </c>
      <c r="G99" s="116">
        <v>6310</v>
      </c>
      <c r="H99" s="116">
        <v>6880</v>
      </c>
      <c r="I99" s="116">
        <v>7560</v>
      </c>
      <c r="J99" s="116">
        <v>8210</v>
      </c>
      <c r="K99" s="116">
        <v>8900</v>
      </c>
      <c r="L99" s="116">
        <v>9730</v>
      </c>
      <c r="M99" s="116">
        <v>10550</v>
      </c>
      <c r="N99" s="116">
        <v>11370</v>
      </c>
      <c r="O99" s="116">
        <v>12260</v>
      </c>
      <c r="P99" s="116">
        <v>13080</v>
      </c>
      <c r="Q99" s="116">
        <v>13890</v>
      </c>
      <c r="R99" s="116">
        <v>14760</v>
      </c>
      <c r="S99" s="116">
        <v>15470</v>
      </c>
      <c r="T99" s="116">
        <v>16080</v>
      </c>
      <c r="U99" s="116">
        <v>16730</v>
      </c>
      <c r="V99" s="116">
        <v>17460</v>
      </c>
      <c r="W99" s="116">
        <v>18230</v>
      </c>
      <c r="X99" s="116">
        <v>19150</v>
      </c>
      <c r="Y99" s="116">
        <v>20200</v>
      </c>
      <c r="Z99" s="116">
        <v>21290</v>
      </c>
      <c r="AA99" s="116">
        <v>22800</v>
      </c>
      <c r="AB99" s="116">
        <v>24570</v>
      </c>
      <c r="AC99" s="116">
        <v>26230</v>
      </c>
      <c r="AD99" s="116">
        <v>27210</v>
      </c>
      <c r="AE99" s="116">
        <v>28750</v>
      </c>
      <c r="AF99" s="116">
        <v>30370</v>
      </c>
      <c r="AG99" s="116">
        <v>32140</v>
      </c>
      <c r="AH99" s="116">
        <v>34950</v>
      </c>
      <c r="AI99" s="116">
        <v>37420</v>
      </c>
      <c r="AJ99" s="116">
        <v>39610</v>
      </c>
      <c r="AK99" s="116">
        <v>41670</v>
      </c>
      <c r="AL99" s="116">
        <v>43500</v>
      </c>
      <c r="AM99" s="116">
        <v>45330</v>
      </c>
      <c r="AN99" s="116">
        <v>47060</v>
      </c>
      <c r="AO99" s="116">
        <v>48860</v>
      </c>
      <c r="AP99" s="116">
        <v>50710</v>
      </c>
      <c r="AQ99" s="116">
        <v>52780</v>
      </c>
      <c r="AR99" s="116">
        <v>54860</v>
      </c>
      <c r="AS99" s="116">
        <v>56790</v>
      </c>
      <c r="AT99" s="116">
        <v>59030</v>
      </c>
      <c r="AU99" s="116">
        <v>61220</v>
      </c>
      <c r="AV99" s="116">
        <v>63520</v>
      </c>
      <c r="AW99" s="116">
        <v>65820</v>
      </c>
      <c r="AX99" s="116">
        <v>67840</v>
      </c>
      <c r="AY99" s="116">
        <v>69540</v>
      </c>
      <c r="AZ99" s="116">
        <v>70650</v>
      </c>
      <c r="BA99" s="116">
        <v>71500</v>
      </c>
      <c r="BB99" s="116">
        <v>72170</v>
      </c>
      <c r="BC99" s="116">
        <v>72850</v>
      </c>
      <c r="BD99" s="116">
        <v>73620</v>
      </c>
      <c r="BE99" s="116">
        <v>74230</v>
      </c>
      <c r="BF99" s="116">
        <v>75000</v>
      </c>
    </row>
    <row r="100" spans="1:58" ht="12.75">
      <c r="A100" s="117" t="s">
        <v>400</v>
      </c>
      <c r="B100" s="11"/>
      <c r="C100" s="200">
        <f aca="true" t="shared" si="2" ref="C100:AH100">SUM(C$9:C$99)/1000000</f>
        <v>2.04838</v>
      </c>
      <c r="D100" s="200">
        <f t="shared" si="2"/>
        <v>2.07069</v>
      </c>
      <c r="E100" s="200">
        <f t="shared" si="2"/>
        <v>2.09151</v>
      </c>
      <c r="F100" s="200">
        <f t="shared" si="2"/>
        <v>2.11294</v>
      </c>
      <c r="G100" s="200">
        <f t="shared" si="2"/>
        <v>2.13439</v>
      </c>
      <c r="H100" s="200">
        <f t="shared" si="2"/>
        <v>2.15542</v>
      </c>
      <c r="I100" s="200">
        <f t="shared" si="2"/>
        <v>2.1759</v>
      </c>
      <c r="J100" s="200">
        <f t="shared" si="2"/>
        <v>2.19604</v>
      </c>
      <c r="K100" s="200">
        <f t="shared" si="2"/>
        <v>2.21581</v>
      </c>
      <c r="L100" s="200">
        <f t="shared" si="2"/>
        <v>2.23524</v>
      </c>
      <c r="M100" s="200">
        <f t="shared" si="2"/>
        <v>2.25439</v>
      </c>
      <c r="N100" s="200">
        <f t="shared" si="2"/>
        <v>2.27324</v>
      </c>
      <c r="O100" s="200">
        <f t="shared" si="2"/>
        <v>2.29177</v>
      </c>
      <c r="P100" s="200">
        <f t="shared" si="2"/>
        <v>2.30997</v>
      </c>
      <c r="Q100" s="200">
        <f t="shared" si="2"/>
        <v>2.32797</v>
      </c>
      <c r="R100" s="200">
        <f t="shared" si="2"/>
        <v>2.34567</v>
      </c>
      <c r="S100" s="200">
        <f t="shared" si="2"/>
        <v>2.36311</v>
      </c>
      <c r="T100" s="200">
        <f t="shared" si="2"/>
        <v>2.38018</v>
      </c>
      <c r="U100" s="200">
        <f t="shared" si="2"/>
        <v>2.39692</v>
      </c>
      <c r="V100" s="200">
        <f t="shared" si="2"/>
        <v>2.41338</v>
      </c>
      <c r="W100" s="200">
        <f t="shared" si="2"/>
        <v>2.42941</v>
      </c>
      <c r="X100" s="200">
        <f t="shared" si="2"/>
        <v>2.4452</v>
      </c>
      <c r="Y100" s="200">
        <f t="shared" si="2"/>
        <v>2.46049</v>
      </c>
      <c r="Z100" s="200">
        <f t="shared" si="2"/>
        <v>2.47535</v>
      </c>
      <c r="AA100" s="200">
        <f t="shared" si="2"/>
        <v>2.4898</v>
      </c>
      <c r="AB100" s="200">
        <f t="shared" si="2"/>
        <v>2.50376</v>
      </c>
      <c r="AC100" s="200">
        <f t="shared" si="2"/>
        <v>2.51733</v>
      </c>
      <c r="AD100" s="200">
        <f t="shared" si="2"/>
        <v>2.53039</v>
      </c>
      <c r="AE100" s="200">
        <f t="shared" si="2"/>
        <v>2.54308</v>
      </c>
      <c r="AF100" s="200">
        <f t="shared" si="2"/>
        <v>2.55539</v>
      </c>
      <c r="AG100" s="200">
        <f t="shared" si="2"/>
        <v>2.56721</v>
      </c>
      <c r="AH100" s="200">
        <f t="shared" si="2"/>
        <v>2.57879</v>
      </c>
      <c r="AI100" s="200">
        <f aca="true" t="shared" si="3" ref="AI100:BF100">SUM(AI$9:AI$99)/1000000</f>
        <v>2.59</v>
      </c>
      <c r="AJ100" s="200">
        <f t="shared" si="3"/>
        <v>2.60083</v>
      </c>
      <c r="AK100" s="200">
        <f t="shared" si="3"/>
        <v>2.61143</v>
      </c>
      <c r="AL100" s="200">
        <f t="shared" si="3"/>
        <v>2.62162</v>
      </c>
      <c r="AM100" s="200">
        <f t="shared" si="3"/>
        <v>2.63151</v>
      </c>
      <c r="AN100" s="200">
        <f t="shared" si="3"/>
        <v>2.64108</v>
      </c>
      <c r="AO100" s="200">
        <f t="shared" si="3"/>
        <v>2.6504</v>
      </c>
      <c r="AP100" s="200">
        <f t="shared" si="3"/>
        <v>2.65919</v>
      </c>
      <c r="AQ100" s="200">
        <f t="shared" si="3"/>
        <v>2.6677</v>
      </c>
      <c r="AR100" s="200">
        <f t="shared" si="3"/>
        <v>2.67583</v>
      </c>
      <c r="AS100" s="200">
        <f t="shared" si="3"/>
        <v>2.68368</v>
      </c>
      <c r="AT100" s="200">
        <f t="shared" si="3"/>
        <v>2.69103</v>
      </c>
      <c r="AU100" s="200">
        <f t="shared" si="3"/>
        <v>2.69822</v>
      </c>
      <c r="AV100" s="200">
        <f t="shared" si="3"/>
        <v>2.70509</v>
      </c>
      <c r="AW100" s="200">
        <f t="shared" si="3"/>
        <v>2.71166</v>
      </c>
      <c r="AX100" s="200">
        <f t="shared" si="3"/>
        <v>2.71793</v>
      </c>
      <c r="AY100" s="200">
        <f t="shared" si="3"/>
        <v>2.72405</v>
      </c>
      <c r="AZ100" s="200">
        <f t="shared" si="3"/>
        <v>2.72991</v>
      </c>
      <c r="BA100" s="200">
        <f t="shared" si="3"/>
        <v>2.73559</v>
      </c>
      <c r="BB100" s="200">
        <f t="shared" si="3"/>
        <v>2.74106</v>
      </c>
      <c r="BC100" s="200">
        <f t="shared" si="3"/>
        <v>2.74644</v>
      </c>
      <c r="BD100" s="200">
        <f t="shared" si="3"/>
        <v>2.75168</v>
      </c>
      <c r="BE100" s="200">
        <f t="shared" si="3"/>
        <v>2.75671</v>
      </c>
      <c r="BF100" s="200">
        <f t="shared" si="3"/>
        <v>2.76161</v>
      </c>
    </row>
    <row r="101" spans="1:58" ht="12.75">
      <c r="A101" s="117"/>
      <c r="B101" s="11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</row>
    <row r="102" spans="1:58" ht="12.75">
      <c r="A102" s="117" t="s">
        <v>401</v>
      </c>
      <c r="B102" s="11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</row>
    <row r="103" spans="1:58" ht="12.75">
      <c r="A103" s="118" t="s">
        <v>309</v>
      </c>
      <c r="B103" s="11"/>
      <c r="C103" s="116">
        <v>28910</v>
      </c>
      <c r="D103" s="116">
        <v>30000</v>
      </c>
      <c r="E103" s="116">
        <v>30120</v>
      </c>
      <c r="F103" s="116">
        <v>29980</v>
      </c>
      <c r="G103" s="116">
        <v>29680</v>
      </c>
      <c r="H103" s="116">
        <v>29440</v>
      </c>
      <c r="I103" s="116">
        <v>29240</v>
      </c>
      <c r="J103" s="116">
        <v>29070</v>
      </c>
      <c r="K103" s="116">
        <v>28950</v>
      </c>
      <c r="L103" s="116">
        <v>28860</v>
      </c>
      <c r="M103" s="116">
        <v>28800</v>
      </c>
      <c r="N103" s="116">
        <v>28760</v>
      </c>
      <c r="O103" s="116">
        <v>28740</v>
      </c>
      <c r="P103" s="116">
        <v>28730</v>
      </c>
      <c r="Q103" s="116">
        <v>28720</v>
      </c>
      <c r="R103" s="116">
        <v>28720</v>
      </c>
      <c r="S103" s="116">
        <v>28720</v>
      </c>
      <c r="T103" s="116">
        <v>28730</v>
      </c>
      <c r="U103" s="116">
        <v>28740</v>
      </c>
      <c r="V103" s="116">
        <v>28740</v>
      </c>
      <c r="W103" s="116">
        <v>28750</v>
      </c>
      <c r="X103" s="116">
        <v>28750</v>
      </c>
      <c r="Y103" s="116">
        <v>28720</v>
      </c>
      <c r="Z103" s="116">
        <v>28680</v>
      </c>
      <c r="AA103" s="116">
        <v>28640</v>
      </c>
      <c r="AB103" s="116">
        <v>28590</v>
      </c>
      <c r="AC103" s="116">
        <v>28560</v>
      </c>
      <c r="AD103" s="116">
        <v>28540</v>
      </c>
      <c r="AE103" s="116">
        <v>28540</v>
      </c>
      <c r="AF103" s="116">
        <v>28570</v>
      </c>
      <c r="AG103" s="116">
        <v>28610</v>
      </c>
      <c r="AH103" s="116">
        <v>28670</v>
      </c>
      <c r="AI103" s="116">
        <v>28740</v>
      </c>
      <c r="AJ103" s="116">
        <v>28820</v>
      </c>
      <c r="AK103" s="116">
        <v>28900</v>
      </c>
      <c r="AL103" s="116">
        <v>28970</v>
      </c>
      <c r="AM103" s="116">
        <v>29020</v>
      </c>
      <c r="AN103" s="116">
        <v>29050</v>
      </c>
      <c r="AO103" s="116">
        <v>29060</v>
      </c>
      <c r="AP103" s="116">
        <v>29050</v>
      </c>
      <c r="AQ103" s="116">
        <v>29030</v>
      </c>
      <c r="AR103" s="116">
        <v>29000</v>
      </c>
      <c r="AS103" s="116">
        <v>28960</v>
      </c>
      <c r="AT103" s="116">
        <v>28920</v>
      </c>
      <c r="AU103" s="116">
        <v>28880</v>
      </c>
      <c r="AV103" s="116">
        <v>28850</v>
      </c>
      <c r="AW103" s="116">
        <v>28820</v>
      </c>
      <c r="AX103" s="116">
        <v>28800</v>
      </c>
      <c r="AY103" s="116">
        <v>28780</v>
      </c>
      <c r="AZ103" s="116">
        <v>28770</v>
      </c>
      <c r="BA103" s="116">
        <v>28760</v>
      </c>
      <c r="BB103" s="116">
        <v>28760</v>
      </c>
      <c r="BC103" s="116">
        <v>28760</v>
      </c>
      <c r="BD103" s="116">
        <v>28760</v>
      </c>
      <c r="BE103" s="116">
        <v>28760</v>
      </c>
      <c r="BF103" s="116">
        <v>28760</v>
      </c>
    </row>
    <row r="104" spans="1:58" ht="12.75">
      <c r="A104" s="118" t="s">
        <v>310</v>
      </c>
      <c r="B104" s="11"/>
      <c r="C104" s="116">
        <v>27990</v>
      </c>
      <c r="D104" s="116">
        <v>28950</v>
      </c>
      <c r="E104" s="116">
        <v>30030</v>
      </c>
      <c r="F104" s="116">
        <v>30160</v>
      </c>
      <c r="G104" s="116">
        <v>30020</v>
      </c>
      <c r="H104" s="116">
        <v>29730</v>
      </c>
      <c r="I104" s="116">
        <v>29480</v>
      </c>
      <c r="J104" s="116">
        <v>29280</v>
      </c>
      <c r="K104" s="116">
        <v>29120</v>
      </c>
      <c r="L104" s="116">
        <v>28990</v>
      </c>
      <c r="M104" s="116">
        <v>28900</v>
      </c>
      <c r="N104" s="116">
        <v>28840</v>
      </c>
      <c r="O104" s="116">
        <v>28800</v>
      </c>
      <c r="P104" s="116">
        <v>28780</v>
      </c>
      <c r="Q104" s="116">
        <v>28770</v>
      </c>
      <c r="R104" s="116">
        <v>28770</v>
      </c>
      <c r="S104" s="116">
        <v>28760</v>
      </c>
      <c r="T104" s="116">
        <v>28770</v>
      </c>
      <c r="U104" s="116">
        <v>28770</v>
      </c>
      <c r="V104" s="116">
        <v>28780</v>
      </c>
      <c r="W104" s="116">
        <v>28790</v>
      </c>
      <c r="X104" s="116">
        <v>28790</v>
      </c>
      <c r="Y104" s="116">
        <v>28790</v>
      </c>
      <c r="Z104" s="116">
        <v>28770</v>
      </c>
      <c r="AA104" s="116">
        <v>28730</v>
      </c>
      <c r="AB104" s="116">
        <v>28680</v>
      </c>
      <c r="AC104" s="116">
        <v>28640</v>
      </c>
      <c r="AD104" s="116">
        <v>28610</v>
      </c>
      <c r="AE104" s="116">
        <v>28590</v>
      </c>
      <c r="AF104" s="116">
        <v>28590</v>
      </c>
      <c r="AG104" s="116">
        <v>28610</v>
      </c>
      <c r="AH104" s="116">
        <v>28660</v>
      </c>
      <c r="AI104" s="116">
        <v>28720</v>
      </c>
      <c r="AJ104" s="116">
        <v>28790</v>
      </c>
      <c r="AK104" s="116">
        <v>28870</v>
      </c>
      <c r="AL104" s="116">
        <v>28950</v>
      </c>
      <c r="AM104" s="116">
        <v>29010</v>
      </c>
      <c r="AN104" s="116">
        <v>29060</v>
      </c>
      <c r="AO104" s="116">
        <v>29100</v>
      </c>
      <c r="AP104" s="116">
        <v>29110</v>
      </c>
      <c r="AQ104" s="116">
        <v>29100</v>
      </c>
      <c r="AR104" s="116">
        <v>29080</v>
      </c>
      <c r="AS104" s="116">
        <v>29040</v>
      </c>
      <c r="AT104" s="116">
        <v>29010</v>
      </c>
      <c r="AU104" s="116">
        <v>28970</v>
      </c>
      <c r="AV104" s="116">
        <v>28930</v>
      </c>
      <c r="AW104" s="116">
        <v>28900</v>
      </c>
      <c r="AX104" s="116">
        <v>28870</v>
      </c>
      <c r="AY104" s="116">
        <v>28850</v>
      </c>
      <c r="AZ104" s="116">
        <v>28830</v>
      </c>
      <c r="BA104" s="116">
        <v>28820</v>
      </c>
      <c r="BB104" s="116">
        <v>28810</v>
      </c>
      <c r="BC104" s="116">
        <v>28810</v>
      </c>
      <c r="BD104" s="116">
        <v>28810</v>
      </c>
      <c r="BE104" s="116">
        <v>28810</v>
      </c>
      <c r="BF104" s="116">
        <v>28810</v>
      </c>
    </row>
    <row r="105" spans="1:58" ht="12.75">
      <c r="A105" s="118" t="s">
        <v>311</v>
      </c>
      <c r="B105" s="11"/>
      <c r="C105" s="116">
        <v>28180</v>
      </c>
      <c r="D105" s="116">
        <v>28050</v>
      </c>
      <c r="E105" s="116">
        <v>29000</v>
      </c>
      <c r="F105" s="116">
        <v>30090</v>
      </c>
      <c r="G105" s="116">
        <v>30220</v>
      </c>
      <c r="H105" s="116">
        <v>30080</v>
      </c>
      <c r="I105" s="116">
        <v>29790</v>
      </c>
      <c r="J105" s="116">
        <v>29540</v>
      </c>
      <c r="K105" s="116">
        <v>29340</v>
      </c>
      <c r="L105" s="116">
        <v>29180</v>
      </c>
      <c r="M105" s="116">
        <v>29050</v>
      </c>
      <c r="N105" s="116">
        <v>28960</v>
      </c>
      <c r="O105" s="116">
        <v>28900</v>
      </c>
      <c r="P105" s="116">
        <v>28870</v>
      </c>
      <c r="Q105" s="116">
        <v>28840</v>
      </c>
      <c r="R105" s="116">
        <v>28830</v>
      </c>
      <c r="S105" s="116">
        <v>28830</v>
      </c>
      <c r="T105" s="116">
        <v>28820</v>
      </c>
      <c r="U105" s="116">
        <v>28830</v>
      </c>
      <c r="V105" s="116">
        <v>28830</v>
      </c>
      <c r="W105" s="116">
        <v>28840</v>
      </c>
      <c r="X105" s="116">
        <v>28850</v>
      </c>
      <c r="Y105" s="116">
        <v>28860</v>
      </c>
      <c r="Z105" s="116">
        <v>28860</v>
      </c>
      <c r="AA105" s="116">
        <v>28830</v>
      </c>
      <c r="AB105" s="116">
        <v>28790</v>
      </c>
      <c r="AC105" s="116">
        <v>28750</v>
      </c>
      <c r="AD105" s="116">
        <v>28700</v>
      </c>
      <c r="AE105" s="116">
        <v>28670</v>
      </c>
      <c r="AF105" s="116">
        <v>28650</v>
      </c>
      <c r="AG105" s="116">
        <v>28650</v>
      </c>
      <c r="AH105" s="116">
        <v>28680</v>
      </c>
      <c r="AI105" s="116">
        <v>28720</v>
      </c>
      <c r="AJ105" s="116">
        <v>28780</v>
      </c>
      <c r="AK105" s="116">
        <v>28850</v>
      </c>
      <c r="AL105" s="116">
        <v>28930</v>
      </c>
      <c r="AM105" s="116">
        <v>29010</v>
      </c>
      <c r="AN105" s="116">
        <v>29080</v>
      </c>
      <c r="AO105" s="116">
        <v>29130</v>
      </c>
      <c r="AP105" s="116">
        <v>29160</v>
      </c>
      <c r="AQ105" s="116">
        <v>29170</v>
      </c>
      <c r="AR105" s="116">
        <v>29160</v>
      </c>
      <c r="AS105" s="116">
        <v>29140</v>
      </c>
      <c r="AT105" s="116">
        <v>29110</v>
      </c>
      <c r="AU105" s="116">
        <v>29070</v>
      </c>
      <c r="AV105" s="116">
        <v>29030</v>
      </c>
      <c r="AW105" s="116">
        <v>28990</v>
      </c>
      <c r="AX105" s="116">
        <v>28960</v>
      </c>
      <c r="AY105" s="116">
        <v>28930</v>
      </c>
      <c r="AZ105" s="116">
        <v>28910</v>
      </c>
      <c r="BA105" s="116">
        <v>28900</v>
      </c>
      <c r="BB105" s="116">
        <v>28880</v>
      </c>
      <c r="BC105" s="116">
        <v>28880</v>
      </c>
      <c r="BD105" s="116">
        <v>28870</v>
      </c>
      <c r="BE105" s="116">
        <v>28870</v>
      </c>
      <c r="BF105" s="116">
        <v>28870</v>
      </c>
    </row>
    <row r="106" spans="1:58" ht="12.75">
      <c r="A106" s="118" t="s">
        <v>312</v>
      </c>
      <c r="B106" s="11"/>
      <c r="C106" s="116">
        <v>27310</v>
      </c>
      <c r="D106" s="116">
        <v>28240</v>
      </c>
      <c r="E106" s="116">
        <v>28110</v>
      </c>
      <c r="F106" s="116">
        <v>29060</v>
      </c>
      <c r="G106" s="116">
        <v>30150</v>
      </c>
      <c r="H106" s="116">
        <v>30280</v>
      </c>
      <c r="I106" s="116">
        <v>30140</v>
      </c>
      <c r="J106" s="116">
        <v>29850</v>
      </c>
      <c r="K106" s="116">
        <v>29610</v>
      </c>
      <c r="L106" s="116">
        <v>29410</v>
      </c>
      <c r="M106" s="116">
        <v>29240</v>
      </c>
      <c r="N106" s="116">
        <v>29120</v>
      </c>
      <c r="O106" s="116">
        <v>29030</v>
      </c>
      <c r="P106" s="116">
        <v>28970</v>
      </c>
      <c r="Q106" s="116">
        <v>28930</v>
      </c>
      <c r="R106" s="116">
        <v>28910</v>
      </c>
      <c r="S106" s="116">
        <v>28900</v>
      </c>
      <c r="T106" s="116">
        <v>28890</v>
      </c>
      <c r="U106" s="116">
        <v>28890</v>
      </c>
      <c r="V106" s="116">
        <v>28900</v>
      </c>
      <c r="W106" s="116">
        <v>28900</v>
      </c>
      <c r="X106" s="116">
        <v>28910</v>
      </c>
      <c r="Y106" s="116">
        <v>28920</v>
      </c>
      <c r="Z106" s="116">
        <v>28920</v>
      </c>
      <c r="AA106" s="116">
        <v>28920</v>
      </c>
      <c r="AB106" s="116">
        <v>28900</v>
      </c>
      <c r="AC106" s="116">
        <v>28860</v>
      </c>
      <c r="AD106" s="116">
        <v>28810</v>
      </c>
      <c r="AE106" s="116">
        <v>28770</v>
      </c>
      <c r="AF106" s="116">
        <v>28740</v>
      </c>
      <c r="AG106" s="116">
        <v>28720</v>
      </c>
      <c r="AH106" s="116">
        <v>28720</v>
      </c>
      <c r="AI106" s="116">
        <v>28740</v>
      </c>
      <c r="AJ106" s="116">
        <v>28790</v>
      </c>
      <c r="AK106" s="116">
        <v>28850</v>
      </c>
      <c r="AL106" s="116">
        <v>28920</v>
      </c>
      <c r="AM106" s="116">
        <v>29000</v>
      </c>
      <c r="AN106" s="116">
        <v>29080</v>
      </c>
      <c r="AO106" s="116">
        <v>29140</v>
      </c>
      <c r="AP106" s="116">
        <v>29200</v>
      </c>
      <c r="AQ106" s="116">
        <v>29230</v>
      </c>
      <c r="AR106" s="116">
        <v>29240</v>
      </c>
      <c r="AS106" s="116">
        <v>29230</v>
      </c>
      <c r="AT106" s="116">
        <v>29210</v>
      </c>
      <c r="AU106" s="116">
        <v>29170</v>
      </c>
      <c r="AV106" s="116">
        <v>29140</v>
      </c>
      <c r="AW106" s="116">
        <v>29100</v>
      </c>
      <c r="AX106" s="116">
        <v>29060</v>
      </c>
      <c r="AY106" s="116">
        <v>29030</v>
      </c>
      <c r="AZ106" s="116">
        <v>29000</v>
      </c>
      <c r="BA106" s="116">
        <v>28980</v>
      </c>
      <c r="BB106" s="116">
        <v>28960</v>
      </c>
      <c r="BC106" s="116">
        <v>28950</v>
      </c>
      <c r="BD106" s="116">
        <v>28950</v>
      </c>
      <c r="BE106" s="116">
        <v>28940</v>
      </c>
      <c r="BF106" s="116">
        <v>28940</v>
      </c>
    </row>
    <row r="107" spans="1:58" ht="12.75">
      <c r="A107" s="118" t="s">
        <v>313</v>
      </c>
      <c r="B107" s="11"/>
      <c r="C107" s="116">
        <v>27400</v>
      </c>
      <c r="D107" s="116">
        <v>27380</v>
      </c>
      <c r="E107" s="116">
        <v>28300</v>
      </c>
      <c r="F107" s="116">
        <v>28170</v>
      </c>
      <c r="G107" s="116">
        <v>29130</v>
      </c>
      <c r="H107" s="116">
        <v>30220</v>
      </c>
      <c r="I107" s="116">
        <v>30350</v>
      </c>
      <c r="J107" s="116">
        <v>30210</v>
      </c>
      <c r="K107" s="116">
        <v>29920</v>
      </c>
      <c r="L107" s="116">
        <v>29680</v>
      </c>
      <c r="M107" s="116">
        <v>29480</v>
      </c>
      <c r="N107" s="116">
        <v>29320</v>
      </c>
      <c r="O107" s="116">
        <v>29190</v>
      </c>
      <c r="P107" s="116">
        <v>29100</v>
      </c>
      <c r="Q107" s="116">
        <v>29040</v>
      </c>
      <c r="R107" s="116">
        <v>29000</v>
      </c>
      <c r="S107" s="116">
        <v>28980</v>
      </c>
      <c r="T107" s="116">
        <v>28970</v>
      </c>
      <c r="U107" s="116">
        <v>28970</v>
      </c>
      <c r="V107" s="116">
        <v>28970</v>
      </c>
      <c r="W107" s="116">
        <v>28970</v>
      </c>
      <c r="X107" s="116">
        <v>28980</v>
      </c>
      <c r="Y107" s="116">
        <v>28980</v>
      </c>
      <c r="Z107" s="116">
        <v>28990</v>
      </c>
      <c r="AA107" s="116">
        <v>29000</v>
      </c>
      <c r="AB107" s="116">
        <v>29000</v>
      </c>
      <c r="AC107" s="116">
        <v>28970</v>
      </c>
      <c r="AD107" s="116">
        <v>28930</v>
      </c>
      <c r="AE107" s="116">
        <v>28890</v>
      </c>
      <c r="AF107" s="116">
        <v>28840</v>
      </c>
      <c r="AG107" s="116">
        <v>28810</v>
      </c>
      <c r="AH107" s="116">
        <v>28790</v>
      </c>
      <c r="AI107" s="116">
        <v>28800</v>
      </c>
      <c r="AJ107" s="116">
        <v>28820</v>
      </c>
      <c r="AK107" s="116">
        <v>28860</v>
      </c>
      <c r="AL107" s="116">
        <v>28920</v>
      </c>
      <c r="AM107" s="116">
        <v>29000</v>
      </c>
      <c r="AN107" s="116">
        <v>29070</v>
      </c>
      <c r="AO107" s="116">
        <v>29150</v>
      </c>
      <c r="AP107" s="116">
        <v>29220</v>
      </c>
      <c r="AQ107" s="116">
        <v>29270</v>
      </c>
      <c r="AR107" s="116">
        <v>29300</v>
      </c>
      <c r="AS107" s="116">
        <v>29310</v>
      </c>
      <c r="AT107" s="116">
        <v>29300</v>
      </c>
      <c r="AU107" s="116">
        <v>29280</v>
      </c>
      <c r="AV107" s="116">
        <v>29250</v>
      </c>
      <c r="AW107" s="116">
        <v>29210</v>
      </c>
      <c r="AX107" s="116">
        <v>29170</v>
      </c>
      <c r="AY107" s="116">
        <v>29140</v>
      </c>
      <c r="AZ107" s="116">
        <v>29100</v>
      </c>
      <c r="BA107" s="116">
        <v>29080</v>
      </c>
      <c r="BB107" s="116">
        <v>29050</v>
      </c>
      <c r="BC107" s="116">
        <v>29040</v>
      </c>
      <c r="BD107" s="116">
        <v>29030</v>
      </c>
      <c r="BE107" s="116">
        <v>29020</v>
      </c>
      <c r="BF107" s="116">
        <v>29020</v>
      </c>
    </row>
    <row r="108" spans="1:58" ht="12.75">
      <c r="A108" s="118" t="s">
        <v>314</v>
      </c>
      <c r="B108" s="11"/>
      <c r="C108" s="116">
        <v>28370</v>
      </c>
      <c r="D108" s="116">
        <v>27480</v>
      </c>
      <c r="E108" s="116">
        <v>27440</v>
      </c>
      <c r="F108" s="116">
        <v>28370</v>
      </c>
      <c r="G108" s="116">
        <v>28250</v>
      </c>
      <c r="H108" s="116">
        <v>29210</v>
      </c>
      <c r="I108" s="116">
        <v>30300</v>
      </c>
      <c r="J108" s="116">
        <v>30430</v>
      </c>
      <c r="K108" s="116">
        <v>30290</v>
      </c>
      <c r="L108" s="116">
        <v>30000</v>
      </c>
      <c r="M108" s="116">
        <v>29760</v>
      </c>
      <c r="N108" s="116">
        <v>29560</v>
      </c>
      <c r="O108" s="116">
        <v>29390</v>
      </c>
      <c r="P108" s="116">
        <v>29270</v>
      </c>
      <c r="Q108" s="116">
        <v>29180</v>
      </c>
      <c r="R108" s="116">
        <v>29120</v>
      </c>
      <c r="S108" s="116">
        <v>29080</v>
      </c>
      <c r="T108" s="116">
        <v>29060</v>
      </c>
      <c r="U108" s="116">
        <v>29050</v>
      </c>
      <c r="V108" s="116">
        <v>29050</v>
      </c>
      <c r="W108" s="116">
        <v>29040</v>
      </c>
      <c r="X108" s="116">
        <v>29050</v>
      </c>
      <c r="Y108" s="116">
        <v>29050</v>
      </c>
      <c r="Z108" s="116">
        <v>29060</v>
      </c>
      <c r="AA108" s="116">
        <v>29070</v>
      </c>
      <c r="AB108" s="116">
        <v>29080</v>
      </c>
      <c r="AC108" s="116">
        <v>29070</v>
      </c>
      <c r="AD108" s="116">
        <v>29050</v>
      </c>
      <c r="AE108" s="116">
        <v>29010</v>
      </c>
      <c r="AF108" s="116">
        <v>28970</v>
      </c>
      <c r="AG108" s="116">
        <v>28920</v>
      </c>
      <c r="AH108" s="116">
        <v>28890</v>
      </c>
      <c r="AI108" s="116">
        <v>28870</v>
      </c>
      <c r="AJ108" s="116">
        <v>28870</v>
      </c>
      <c r="AK108" s="116">
        <v>28900</v>
      </c>
      <c r="AL108" s="116">
        <v>28940</v>
      </c>
      <c r="AM108" s="116">
        <v>29000</v>
      </c>
      <c r="AN108" s="116">
        <v>29070</v>
      </c>
      <c r="AO108" s="116">
        <v>29150</v>
      </c>
      <c r="AP108" s="116">
        <v>29230</v>
      </c>
      <c r="AQ108" s="116">
        <v>29300</v>
      </c>
      <c r="AR108" s="116">
        <v>29350</v>
      </c>
      <c r="AS108" s="116">
        <v>29380</v>
      </c>
      <c r="AT108" s="116">
        <v>29390</v>
      </c>
      <c r="AU108" s="116">
        <v>29380</v>
      </c>
      <c r="AV108" s="116">
        <v>29360</v>
      </c>
      <c r="AW108" s="116">
        <v>29330</v>
      </c>
      <c r="AX108" s="116">
        <v>29290</v>
      </c>
      <c r="AY108" s="116">
        <v>29250</v>
      </c>
      <c r="AZ108" s="116">
        <v>29220</v>
      </c>
      <c r="BA108" s="116">
        <v>29180</v>
      </c>
      <c r="BB108" s="116">
        <v>29160</v>
      </c>
      <c r="BC108" s="116">
        <v>29130</v>
      </c>
      <c r="BD108" s="116">
        <v>29120</v>
      </c>
      <c r="BE108" s="116">
        <v>29110</v>
      </c>
      <c r="BF108" s="116">
        <v>29100</v>
      </c>
    </row>
    <row r="109" spans="1:58" ht="12.75">
      <c r="A109" s="118" t="s">
        <v>315</v>
      </c>
      <c r="B109" s="11"/>
      <c r="C109" s="116">
        <v>28910</v>
      </c>
      <c r="D109" s="116">
        <v>28450</v>
      </c>
      <c r="E109" s="116">
        <v>27540</v>
      </c>
      <c r="F109" s="116">
        <v>27520</v>
      </c>
      <c r="G109" s="116">
        <v>28450</v>
      </c>
      <c r="H109" s="116">
        <v>28330</v>
      </c>
      <c r="I109" s="116">
        <v>29290</v>
      </c>
      <c r="J109" s="116">
        <v>30380</v>
      </c>
      <c r="K109" s="116">
        <v>30510</v>
      </c>
      <c r="L109" s="116">
        <v>30370</v>
      </c>
      <c r="M109" s="116">
        <v>30080</v>
      </c>
      <c r="N109" s="116">
        <v>29840</v>
      </c>
      <c r="O109" s="116">
        <v>29640</v>
      </c>
      <c r="P109" s="116">
        <v>29470</v>
      </c>
      <c r="Q109" s="116">
        <v>29350</v>
      </c>
      <c r="R109" s="116">
        <v>29260</v>
      </c>
      <c r="S109" s="116">
        <v>29200</v>
      </c>
      <c r="T109" s="116">
        <v>29160</v>
      </c>
      <c r="U109" s="116">
        <v>29140</v>
      </c>
      <c r="V109" s="116">
        <v>29130</v>
      </c>
      <c r="W109" s="116">
        <v>29130</v>
      </c>
      <c r="X109" s="116">
        <v>29120</v>
      </c>
      <c r="Y109" s="116">
        <v>29130</v>
      </c>
      <c r="Z109" s="116">
        <v>29130</v>
      </c>
      <c r="AA109" s="116">
        <v>29140</v>
      </c>
      <c r="AB109" s="116">
        <v>29150</v>
      </c>
      <c r="AC109" s="116">
        <v>29160</v>
      </c>
      <c r="AD109" s="116">
        <v>29160</v>
      </c>
      <c r="AE109" s="116">
        <v>29130</v>
      </c>
      <c r="AF109" s="116">
        <v>29090</v>
      </c>
      <c r="AG109" s="116">
        <v>29050</v>
      </c>
      <c r="AH109" s="116">
        <v>29000</v>
      </c>
      <c r="AI109" s="116">
        <v>28970</v>
      </c>
      <c r="AJ109" s="116">
        <v>28950</v>
      </c>
      <c r="AK109" s="116">
        <v>28960</v>
      </c>
      <c r="AL109" s="116">
        <v>28980</v>
      </c>
      <c r="AM109" s="116">
        <v>29020</v>
      </c>
      <c r="AN109" s="116">
        <v>29080</v>
      </c>
      <c r="AO109" s="116">
        <v>29160</v>
      </c>
      <c r="AP109" s="116">
        <v>29230</v>
      </c>
      <c r="AQ109" s="116">
        <v>29310</v>
      </c>
      <c r="AR109" s="116">
        <v>29380</v>
      </c>
      <c r="AS109" s="116">
        <v>29430</v>
      </c>
      <c r="AT109" s="116">
        <v>29460</v>
      </c>
      <c r="AU109" s="116">
        <v>29470</v>
      </c>
      <c r="AV109" s="116">
        <v>29460</v>
      </c>
      <c r="AW109" s="116">
        <v>29440</v>
      </c>
      <c r="AX109" s="116">
        <v>29410</v>
      </c>
      <c r="AY109" s="116">
        <v>29370</v>
      </c>
      <c r="AZ109" s="116">
        <v>29330</v>
      </c>
      <c r="BA109" s="116">
        <v>29300</v>
      </c>
      <c r="BB109" s="116">
        <v>29260</v>
      </c>
      <c r="BC109" s="116">
        <v>29240</v>
      </c>
      <c r="BD109" s="116">
        <v>29220</v>
      </c>
      <c r="BE109" s="116">
        <v>29200</v>
      </c>
      <c r="BF109" s="116">
        <v>29190</v>
      </c>
    </row>
    <row r="110" spans="1:58" ht="12.75">
      <c r="A110" s="118" t="s">
        <v>316</v>
      </c>
      <c r="B110" s="11"/>
      <c r="C110" s="116">
        <v>27980</v>
      </c>
      <c r="D110" s="116">
        <v>29000</v>
      </c>
      <c r="E110" s="116">
        <v>28510</v>
      </c>
      <c r="F110" s="116">
        <v>27620</v>
      </c>
      <c r="G110" s="116">
        <v>27600</v>
      </c>
      <c r="H110" s="116">
        <v>28530</v>
      </c>
      <c r="I110" s="116">
        <v>28410</v>
      </c>
      <c r="J110" s="116">
        <v>29370</v>
      </c>
      <c r="K110" s="116">
        <v>30460</v>
      </c>
      <c r="L110" s="116">
        <v>30600</v>
      </c>
      <c r="M110" s="116">
        <v>30450</v>
      </c>
      <c r="N110" s="116">
        <v>30170</v>
      </c>
      <c r="O110" s="116">
        <v>29920</v>
      </c>
      <c r="P110" s="116">
        <v>29720</v>
      </c>
      <c r="Q110" s="116">
        <v>29560</v>
      </c>
      <c r="R110" s="116">
        <v>29430</v>
      </c>
      <c r="S110" s="116">
        <v>29340</v>
      </c>
      <c r="T110" s="116">
        <v>29280</v>
      </c>
      <c r="U110" s="116">
        <v>29250</v>
      </c>
      <c r="V110" s="116">
        <v>29230</v>
      </c>
      <c r="W110" s="116">
        <v>29220</v>
      </c>
      <c r="X110" s="116">
        <v>29210</v>
      </c>
      <c r="Y110" s="116">
        <v>29210</v>
      </c>
      <c r="Z110" s="116">
        <v>29210</v>
      </c>
      <c r="AA110" s="116">
        <v>29220</v>
      </c>
      <c r="AB110" s="116">
        <v>29230</v>
      </c>
      <c r="AC110" s="116">
        <v>29240</v>
      </c>
      <c r="AD110" s="116">
        <v>29240</v>
      </c>
      <c r="AE110" s="116">
        <v>29240</v>
      </c>
      <c r="AF110" s="116">
        <v>29220</v>
      </c>
      <c r="AG110" s="116">
        <v>29180</v>
      </c>
      <c r="AH110" s="116">
        <v>29130</v>
      </c>
      <c r="AI110" s="116">
        <v>29090</v>
      </c>
      <c r="AJ110" s="116">
        <v>29050</v>
      </c>
      <c r="AK110" s="116">
        <v>29040</v>
      </c>
      <c r="AL110" s="116">
        <v>29040</v>
      </c>
      <c r="AM110" s="116">
        <v>29060</v>
      </c>
      <c r="AN110" s="116">
        <v>29110</v>
      </c>
      <c r="AO110" s="116">
        <v>29170</v>
      </c>
      <c r="AP110" s="116">
        <v>29240</v>
      </c>
      <c r="AQ110" s="116">
        <v>29320</v>
      </c>
      <c r="AR110" s="116">
        <v>29400</v>
      </c>
      <c r="AS110" s="116">
        <v>29460</v>
      </c>
      <c r="AT110" s="116">
        <v>29510</v>
      </c>
      <c r="AU110" s="116">
        <v>29540</v>
      </c>
      <c r="AV110" s="116">
        <v>29560</v>
      </c>
      <c r="AW110" s="116">
        <v>29550</v>
      </c>
      <c r="AX110" s="116">
        <v>29530</v>
      </c>
      <c r="AY110" s="116">
        <v>29490</v>
      </c>
      <c r="AZ110" s="116">
        <v>29460</v>
      </c>
      <c r="BA110" s="116">
        <v>29420</v>
      </c>
      <c r="BB110" s="116">
        <v>29380</v>
      </c>
      <c r="BC110" s="116">
        <v>29350</v>
      </c>
      <c r="BD110" s="116">
        <v>29320</v>
      </c>
      <c r="BE110" s="116">
        <v>29300</v>
      </c>
      <c r="BF110" s="116">
        <v>29280</v>
      </c>
    </row>
    <row r="111" spans="1:58" ht="12.75">
      <c r="A111" s="118" t="s">
        <v>317</v>
      </c>
      <c r="B111" s="11"/>
      <c r="C111" s="116">
        <v>28620</v>
      </c>
      <c r="D111" s="116">
        <v>28060</v>
      </c>
      <c r="E111" s="116">
        <v>29060</v>
      </c>
      <c r="F111" s="116">
        <v>28590</v>
      </c>
      <c r="G111" s="116">
        <v>27700</v>
      </c>
      <c r="H111" s="116">
        <v>27680</v>
      </c>
      <c r="I111" s="116">
        <v>28620</v>
      </c>
      <c r="J111" s="116">
        <v>28500</v>
      </c>
      <c r="K111" s="116">
        <v>29450</v>
      </c>
      <c r="L111" s="116">
        <v>30550</v>
      </c>
      <c r="M111" s="116">
        <v>30680</v>
      </c>
      <c r="N111" s="116">
        <v>30540</v>
      </c>
      <c r="O111" s="116">
        <v>30250</v>
      </c>
      <c r="P111" s="116">
        <v>30010</v>
      </c>
      <c r="Q111" s="116">
        <v>29800</v>
      </c>
      <c r="R111" s="116">
        <v>29640</v>
      </c>
      <c r="S111" s="116">
        <v>29520</v>
      </c>
      <c r="T111" s="116">
        <v>29430</v>
      </c>
      <c r="U111" s="116">
        <v>29370</v>
      </c>
      <c r="V111" s="116">
        <v>29330</v>
      </c>
      <c r="W111" s="116">
        <v>29310</v>
      </c>
      <c r="X111" s="116">
        <v>29300</v>
      </c>
      <c r="Y111" s="116">
        <v>29290</v>
      </c>
      <c r="Z111" s="116">
        <v>29290</v>
      </c>
      <c r="AA111" s="116">
        <v>29300</v>
      </c>
      <c r="AB111" s="116">
        <v>29300</v>
      </c>
      <c r="AC111" s="116">
        <v>29310</v>
      </c>
      <c r="AD111" s="116">
        <v>29320</v>
      </c>
      <c r="AE111" s="116">
        <v>29320</v>
      </c>
      <c r="AF111" s="116">
        <v>29320</v>
      </c>
      <c r="AG111" s="116">
        <v>29300</v>
      </c>
      <c r="AH111" s="116">
        <v>29260</v>
      </c>
      <c r="AI111" s="116">
        <v>29220</v>
      </c>
      <c r="AJ111" s="116">
        <v>29170</v>
      </c>
      <c r="AK111" s="116">
        <v>29140</v>
      </c>
      <c r="AL111" s="116">
        <v>29120</v>
      </c>
      <c r="AM111" s="116">
        <v>29120</v>
      </c>
      <c r="AN111" s="116">
        <v>29150</v>
      </c>
      <c r="AO111" s="116">
        <v>29190</v>
      </c>
      <c r="AP111" s="116">
        <v>29250</v>
      </c>
      <c r="AQ111" s="116">
        <v>29320</v>
      </c>
      <c r="AR111" s="116">
        <v>29400</v>
      </c>
      <c r="AS111" s="116">
        <v>29480</v>
      </c>
      <c r="AT111" s="116">
        <v>29550</v>
      </c>
      <c r="AU111" s="116">
        <v>29600</v>
      </c>
      <c r="AV111" s="116">
        <v>29630</v>
      </c>
      <c r="AW111" s="116">
        <v>29640</v>
      </c>
      <c r="AX111" s="116">
        <v>29630</v>
      </c>
      <c r="AY111" s="116">
        <v>29610</v>
      </c>
      <c r="AZ111" s="116">
        <v>29580</v>
      </c>
      <c r="BA111" s="116">
        <v>29540</v>
      </c>
      <c r="BB111" s="116">
        <v>29500</v>
      </c>
      <c r="BC111" s="116">
        <v>29470</v>
      </c>
      <c r="BD111" s="116">
        <v>29430</v>
      </c>
      <c r="BE111" s="116">
        <v>29410</v>
      </c>
      <c r="BF111" s="116">
        <v>29380</v>
      </c>
    </row>
    <row r="112" spans="1:58" ht="12.75">
      <c r="A112" s="118" t="s">
        <v>318</v>
      </c>
      <c r="B112" s="11"/>
      <c r="C112" s="116">
        <v>28770</v>
      </c>
      <c r="D112" s="116">
        <v>28700</v>
      </c>
      <c r="E112" s="116">
        <v>28130</v>
      </c>
      <c r="F112" s="116">
        <v>29140</v>
      </c>
      <c r="G112" s="116">
        <v>28670</v>
      </c>
      <c r="H112" s="116">
        <v>27790</v>
      </c>
      <c r="I112" s="116">
        <v>27770</v>
      </c>
      <c r="J112" s="116">
        <v>28700</v>
      </c>
      <c r="K112" s="116">
        <v>28580</v>
      </c>
      <c r="L112" s="116">
        <v>29540</v>
      </c>
      <c r="M112" s="116">
        <v>30630</v>
      </c>
      <c r="N112" s="116">
        <v>30760</v>
      </c>
      <c r="O112" s="116">
        <v>30620</v>
      </c>
      <c r="P112" s="116">
        <v>30330</v>
      </c>
      <c r="Q112" s="116">
        <v>30090</v>
      </c>
      <c r="R112" s="116">
        <v>29890</v>
      </c>
      <c r="S112" s="116">
        <v>29720</v>
      </c>
      <c r="T112" s="116">
        <v>29600</v>
      </c>
      <c r="U112" s="116">
        <v>29510</v>
      </c>
      <c r="V112" s="116">
        <v>29450</v>
      </c>
      <c r="W112" s="116">
        <v>29410</v>
      </c>
      <c r="X112" s="116">
        <v>29390</v>
      </c>
      <c r="Y112" s="116">
        <v>29380</v>
      </c>
      <c r="Z112" s="116">
        <v>29380</v>
      </c>
      <c r="AA112" s="116">
        <v>29380</v>
      </c>
      <c r="AB112" s="116">
        <v>29380</v>
      </c>
      <c r="AC112" s="116">
        <v>29390</v>
      </c>
      <c r="AD112" s="116">
        <v>29400</v>
      </c>
      <c r="AE112" s="116">
        <v>29400</v>
      </c>
      <c r="AF112" s="116">
        <v>29410</v>
      </c>
      <c r="AG112" s="116">
        <v>29410</v>
      </c>
      <c r="AH112" s="116">
        <v>29380</v>
      </c>
      <c r="AI112" s="116">
        <v>29350</v>
      </c>
      <c r="AJ112" s="116">
        <v>29300</v>
      </c>
      <c r="AK112" s="116">
        <v>29250</v>
      </c>
      <c r="AL112" s="116">
        <v>29220</v>
      </c>
      <c r="AM112" s="116">
        <v>29200</v>
      </c>
      <c r="AN112" s="116">
        <v>29210</v>
      </c>
      <c r="AO112" s="116">
        <v>29230</v>
      </c>
      <c r="AP112" s="116">
        <v>29270</v>
      </c>
      <c r="AQ112" s="116">
        <v>29330</v>
      </c>
      <c r="AR112" s="116">
        <v>29410</v>
      </c>
      <c r="AS112" s="116">
        <v>29490</v>
      </c>
      <c r="AT112" s="116">
        <v>29560</v>
      </c>
      <c r="AU112" s="116">
        <v>29630</v>
      </c>
      <c r="AV112" s="116">
        <v>29680</v>
      </c>
      <c r="AW112" s="116">
        <v>29710</v>
      </c>
      <c r="AX112" s="116">
        <v>29720</v>
      </c>
      <c r="AY112" s="116">
        <v>29720</v>
      </c>
      <c r="AZ112" s="116">
        <v>29690</v>
      </c>
      <c r="BA112" s="116">
        <v>29660</v>
      </c>
      <c r="BB112" s="116">
        <v>29620</v>
      </c>
      <c r="BC112" s="116">
        <v>29590</v>
      </c>
      <c r="BD112" s="116">
        <v>29550</v>
      </c>
      <c r="BE112" s="116">
        <v>29520</v>
      </c>
      <c r="BF112" s="116">
        <v>29490</v>
      </c>
    </row>
    <row r="113" spans="1:58" ht="12.75">
      <c r="A113" s="118" t="s">
        <v>319</v>
      </c>
      <c r="B113" s="11"/>
      <c r="C113" s="116">
        <v>29250</v>
      </c>
      <c r="D113" s="116">
        <v>28850</v>
      </c>
      <c r="E113" s="116">
        <v>28770</v>
      </c>
      <c r="F113" s="116">
        <v>28210</v>
      </c>
      <c r="G113" s="116">
        <v>29220</v>
      </c>
      <c r="H113" s="116">
        <v>28760</v>
      </c>
      <c r="I113" s="116">
        <v>27870</v>
      </c>
      <c r="J113" s="116">
        <v>27850</v>
      </c>
      <c r="K113" s="116">
        <v>28780</v>
      </c>
      <c r="L113" s="116">
        <v>28660</v>
      </c>
      <c r="M113" s="116">
        <v>29620</v>
      </c>
      <c r="N113" s="116">
        <v>30710</v>
      </c>
      <c r="O113" s="116">
        <v>30840</v>
      </c>
      <c r="P113" s="116">
        <v>30700</v>
      </c>
      <c r="Q113" s="116">
        <v>30410</v>
      </c>
      <c r="R113" s="116">
        <v>30170</v>
      </c>
      <c r="S113" s="116">
        <v>29970</v>
      </c>
      <c r="T113" s="116">
        <v>29810</v>
      </c>
      <c r="U113" s="116">
        <v>29680</v>
      </c>
      <c r="V113" s="116">
        <v>29590</v>
      </c>
      <c r="W113" s="116">
        <v>29530</v>
      </c>
      <c r="X113" s="116">
        <v>29500</v>
      </c>
      <c r="Y113" s="116">
        <v>29480</v>
      </c>
      <c r="Z113" s="116">
        <v>29470</v>
      </c>
      <c r="AA113" s="116">
        <v>29460</v>
      </c>
      <c r="AB113" s="116">
        <v>29460</v>
      </c>
      <c r="AC113" s="116">
        <v>29460</v>
      </c>
      <c r="AD113" s="116">
        <v>29470</v>
      </c>
      <c r="AE113" s="116">
        <v>29480</v>
      </c>
      <c r="AF113" s="116">
        <v>29490</v>
      </c>
      <c r="AG113" s="116">
        <v>29490</v>
      </c>
      <c r="AH113" s="116">
        <v>29490</v>
      </c>
      <c r="AI113" s="116">
        <v>29470</v>
      </c>
      <c r="AJ113" s="116">
        <v>29430</v>
      </c>
      <c r="AK113" s="116">
        <v>29380</v>
      </c>
      <c r="AL113" s="116">
        <v>29340</v>
      </c>
      <c r="AM113" s="116">
        <v>29300</v>
      </c>
      <c r="AN113" s="116">
        <v>29290</v>
      </c>
      <c r="AO113" s="116">
        <v>29290</v>
      </c>
      <c r="AP113" s="116">
        <v>29310</v>
      </c>
      <c r="AQ113" s="116">
        <v>29360</v>
      </c>
      <c r="AR113" s="116">
        <v>29420</v>
      </c>
      <c r="AS113" s="116">
        <v>29490</v>
      </c>
      <c r="AT113" s="116">
        <v>29570</v>
      </c>
      <c r="AU113" s="116">
        <v>29650</v>
      </c>
      <c r="AV113" s="116">
        <v>29710</v>
      </c>
      <c r="AW113" s="116">
        <v>29760</v>
      </c>
      <c r="AX113" s="116">
        <v>29790</v>
      </c>
      <c r="AY113" s="116">
        <v>29810</v>
      </c>
      <c r="AZ113" s="116">
        <v>29800</v>
      </c>
      <c r="BA113" s="116">
        <v>29780</v>
      </c>
      <c r="BB113" s="116">
        <v>29740</v>
      </c>
      <c r="BC113" s="116">
        <v>29710</v>
      </c>
      <c r="BD113" s="116">
        <v>29670</v>
      </c>
      <c r="BE113" s="116">
        <v>29630</v>
      </c>
      <c r="BF113" s="116">
        <v>29600</v>
      </c>
    </row>
    <row r="114" spans="1:58" ht="12.75">
      <c r="A114" s="118" t="s">
        <v>320</v>
      </c>
      <c r="B114" s="11"/>
      <c r="C114" s="116">
        <v>29970</v>
      </c>
      <c r="D114" s="116">
        <v>29330</v>
      </c>
      <c r="E114" s="116">
        <v>28910</v>
      </c>
      <c r="F114" s="116">
        <v>28840</v>
      </c>
      <c r="G114" s="116">
        <v>28290</v>
      </c>
      <c r="H114" s="116">
        <v>29310</v>
      </c>
      <c r="I114" s="116">
        <v>28840</v>
      </c>
      <c r="J114" s="116">
        <v>27950</v>
      </c>
      <c r="K114" s="116">
        <v>27930</v>
      </c>
      <c r="L114" s="116">
        <v>28860</v>
      </c>
      <c r="M114" s="116">
        <v>28740</v>
      </c>
      <c r="N114" s="116">
        <v>29700</v>
      </c>
      <c r="O114" s="116">
        <v>30790</v>
      </c>
      <c r="P114" s="116">
        <v>30920</v>
      </c>
      <c r="Q114" s="116">
        <v>30780</v>
      </c>
      <c r="R114" s="116">
        <v>30490</v>
      </c>
      <c r="S114" s="116">
        <v>30250</v>
      </c>
      <c r="T114" s="116">
        <v>30050</v>
      </c>
      <c r="U114" s="116">
        <v>29890</v>
      </c>
      <c r="V114" s="116">
        <v>29760</v>
      </c>
      <c r="W114" s="116">
        <v>29680</v>
      </c>
      <c r="X114" s="116">
        <v>29620</v>
      </c>
      <c r="Y114" s="116">
        <v>29580</v>
      </c>
      <c r="Z114" s="116">
        <v>29560</v>
      </c>
      <c r="AA114" s="116">
        <v>29550</v>
      </c>
      <c r="AB114" s="116">
        <v>29540</v>
      </c>
      <c r="AC114" s="116">
        <v>29540</v>
      </c>
      <c r="AD114" s="116">
        <v>29540</v>
      </c>
      <c r="AE114" s="116">
        <v>29550</v>
      </c>
      <c r="AF114" s="116">
        <v>29560</v>
      </c>
      <c r="AG114" s="116">
        <v>29570</v>
      </c>
      <c r="AH114" s="116">
        <v>29570</v>
      </c>
      <c r="AI114" s="116">
        <v>29570</v>
      </c>
      <c r="AJ114" s="116">
        <v>29550</v>
      </c>
      <c r="AK114" s="116">
        <v>29510</v>
      </c>
      <c r="AL114" s="116">
        <v>29460</v>
      </c>
      <c r="AM114" s="116">
        <v>29420</v>
      </c>
      <c r="AN114" s="116">
        <v>29390</v>
      </c>
      <c r="AO114" s="116">
        <v>29370</v>
      </c>
      <c r="AP114" s="116">
        <v>29370</v>
      </c>
      <c r="AQ114" s="116">
        <v>29390</v>
      </c>
      <c r="AR114" s="116">
        <v>29440</v>
      </c>
      <c r="AS114" s="116">
        <v>29500</v>
      </c>
      <c r="AT114" s="116">
        <v>29570</v>
      </c>
      <c r="AU114" s="116">
        <v>29650</v>
      </c>
      <c r="AV114" s="116">
        <v>29730</v>
      </c>
      <c r="AW114" s="116">
        <v>29790</v>
      </c>
      <c r="AX114" s="116">
        <v>29850</v>
      </c>
      <c r="AY114" s="116">
        <v>29880</v>
      </c>
      <c r="AZ114" s="116">
        <v>29890</v>
      </c>
      <c r="BA114" s="116">
        <v>29880</v>
      </c>
      <c r="BB114" s="116">
        <v>29860</v>
      </c>
      <c r="BC114" s="116">
        <v>29820</v>
      </c>
      <c r="BD114" s="116">
        <v>29790</v>
      </c>
      <c r="BE114" s="116">
        <v>29750</v>
      </c>
      <c r="BF114" s="116">
        <v>29710</v>
      </c>
    </row>
    <row r="115" spans="1:58" ht="12.75">
      <c r="A115" s="118" t="s">
        <v>321</v>
      </c>
      <c r="B115" s="11"/>
      <c r="C115" s="116">
        <v>29990</v>
      </c>
      <c r="D115" s="116">
        <v>30050</v>
      </c>
      <c r="E115" s="116">
        <v>29400</v>
      </c>
      <c r="F115" s="116">
        <v>28990</v>
      </c>
      <c r="G115" s="116">
        <v>28930</v>
      </c>
      <c r="H115" s="116">
        <v>28370</v>
      </c>
      <c r="I115" s="116">
        <v>29390</v>
      </c>
      <c r="J115" s="116">
        <v>28920</v>
      </c>
      <c r="K115" s="116">
        <v>28030</v>
      </c>
      <c r="L115" s="116">
        <v>28010</v>
      </c>
      <c r="M115" s="116">
        <v>28950</v>
      </c>
      <c r="N115" s="116">
        <v>28830</v>
      </c>
      <c r="O115" s="116">
        <v>29780</v>
      </c>
      <c r="P115" s="116">
        <v>30870</v>
      </c>
      <c r="Q115" s="116">
        <v>31010</v>
      </c>
      <c r="R115" s="116">
        <v>30870</v>
      </c>
      <c r="S115" s="116">
        <v>30580</v>
      </c>
      <c r="T115" s="116">
        <v>30340</v>
      </c>
      <c r="U115" s="116">
        <v>30130</v>
      </c>
      <c r="V115" s="116">
        <v>29970</v>
      </c>
      <c r="W115" s="116">
        <v>29850</v>
      </c>
      <c r="X115" s="116">
        <v>29760</v>
      </c>
      <c r="Y115" s="116">
        <v>29700</v>
      </c>
      <c r="Z115" s="116">
        <v>29660</v>
      </c>
      <c r="AA115" s="116">
        <v>29640</v>
      </c>
      <c r="AB115" s="116">
        <v>29630</v>
      </c>
      <c r="AC115" s="116">
        <v>29630</v>
      </c>
      <c r="AD115" s="116">
        <v>29620</v>
      </c>
      <c r="AE115" s="116">
        <v>29630</v>
      </c>
      <c r="AF115" s="116">
        <v>29630</v>
      </c>
      <c r="AG115" s="116">
        <v>29640</v>
      </c>
      <c r="AH115" s="116">
        <v>29650</v>
      </c>
      <c r="AI115" s="116">
        <v>29660</v>
      </c>
      <c r="AJ115" s="116">
        <v>29660</v>
      </c>
      <c r="AK115" s="116">
        <v>29630</v>
      </c>
      <c r="AL115" s="116">
        <v>29590</v>
      </c>
      <c r="AM115" s="116">
        <v>29550</v>
      </c>
      <c r="AN115" s="116">
        <v>29500</v>
      </c>
      <c r="AO115" s="116">
        <v>29470</v>
      </c>
      <c r="AP115" s="116">
        <v>29450</v>
      </c>
      <c r="AQ115" s="116">
        <v>29450</v>
      </c>
      <c r="AR115" s="116">
        <v>29480</v>
      </c>
      <c r="AS115" s="116">
        <v>29520</v>
      </c>
      <c r="AT115" s="116">
        <v>29580</v>
      </c>
      <c r="AU115" s="116">
        <v>29660</v>
      </c>
      <c r="AV115" s="116">
        <v>29730</v>
      </c>
      <c r="AW115" s="116">
        <v>29810</v>
      </c>
      <c r="AX115" s="116">
        <v>29880</v>
      </c>
      <c r="AY115" s="116">
        <v>29930</v>
      </c>
      <c r="AZ115" s="116">
        <v>29960</v>
      </c>
      <c r="BA115" s="116">
        <v>29970</v>
      </c>
      <c r="BB115" s="116">
        <v>29960</v>
      </c>
      <c r="BC115" s="116">
        <v>29940</v>
      </c>
      <c r="BD115" s="116">
        <v>29910</v>
      </c>
      <c r="BE115" s="116">
        <v>29870</v>
      </c>
      <c r="BF115" s="116">
        <v>29830</v>
      </c>
    </row>
    <row r="116" spans="1:58" ht="12.75">
      <c r="A116" s="118" t="s">
        <v>322</v>
      </c>
      <c r="B116" s="11"/>
      <c r="C116" s="116">
        <v>30750</v>
      </c>
      <c r="D116" s="116">
        <v>30080</v>
      </c>
      <c r="E116" s="116">
        <v>30130</v>
      </c>
      <c r="F116" s="116">
        <v>29490</v>
      </c>
      <c r="G116" s="116">
        <v>29080</v>
      </c>
      <c r="H116" s="116">
        <v>29020</v>
      </c>
      <c r="I116" s="116">
        <v>28460</v>
      </c>
      <c r="J116" s="116">
        <v>29480</v>
      </c>
      <c r="K116" s="116">
        <v>29010</v>
      </c>
      <c r="L116" s="116">
        <v>28130</v>
      </c>
      <c r="M116" s="116">
        <v>28110</v>
      </c>
      <c r="N116" s="116">
        <v>29040</v>
      </c>
      <c r="O116" s="116">
        <v>28920</v>
      </c>
      <c r="P116" s="116">
        <v>29880</v>
      </c>
      <c r="Q116" s="116">
        <v>30970</v>
      </c>
      <c r="R116" s="116">
        <v>31100</v>
      </c>
      <c r="S116" s="116">
        <v>30960</v>
      </c>
      <c r="T116" s="116">
        <v>30670</v>
      </c>
      <c r="U116" s="116">
        <v>30430</v>
      </c>
      <c r="V116" s="116">
        <v>30230</v>
      </c>
      <c r="W116" s="116">
        <v>30070</v>
      </c>
      <c r="X116" s="116">
        <v>29940</v>
      </c>
      <c r="Y116" s="116">
        <v>29850</v>
      </c>
      <c r="Z116" s="116">
        <v>29790</v>
      </c>
      <c r="AA116" s="116">
        <v>29760</v>
      </c>
      <c r="AB116" s="116">
        <v>29740</v>
      </c>
      <c r="AC116" s="116">
        <v>29730</v>
      </c>
      <c r="AD116" s="116">
        <v>29720</v>
      </c>
      <c r="AE116" s="116">
        <v>29720</v>
      </c>
      <c r="AF116" s="116">
        <v>29720</v>
      </c>
      <c r="AG116" s="116">
        <v>29730</v>
      </c>
      <c r="AH116" s="116">
        <v>29740</v>
      </c>
      <c r="AI116" s="116">
        <v>29740</v>
      </c>
      <c r="AJ116" s="116">
        <v>29750</v>
      </c>
      <c r="AK116" s="116">
        <v>29750</v>
      </c>
      <c r="AL116" s="116">
        <v>29730</v>
      </c>
      <c r="AM116" s="116">
        <v>29690</v>
      </c>
      <c r="AN116" s="116">
        <v>29640</v>
      </c>
      <c r="AO116" s="116">
        <v>29600</v>
      </c>
      <c r="AP116" s="116">
        <v>29560</v>
      </c>
      <c r="AQ116" s="116">
        <v>29550</v>
      </c>
      <c r="AR116" s="116">
        <v>29550</v>
      </c>
      <c r="AS116" s="116">
        <v>29570</v>
      </c>
      <c r="AT116" s="116">
        <v>29620</v>
      </c>
      <c r="AU116" s="116">
        <v>29680</v>
      </c>
      <c r="AV116" s="116">
        <v>29750</v>
      </c>
      <c r="AW116" s="116">
        <v>29830</v>
      </c>
      <c r="AX116" s="116">
        <v>29910</v>
      </c>
      <c r="AY116" s="116">
        <v>29970</v>
      </c>
      <c r="AZ116" s="116">
        <v>30020</v>
      </c>
      <c r="BA116" s="116">
        <v>30050</v>
      </c>
      <c r="BB116" s="116">
        <v>30070</v>
      </c>
      <c r="BC116" s="116">
        <v>30060</v>
      </c>
      <c r="BD116" s="116">
        <v>30040</v>
      </c>
      <c r="BE116" s="116">
        <v>30000</v>
      </c>
      <c r="BF116" s="116">
        <v>29970</v>
      </c>
    </row>
    <row r="117" spans="1:58" ht="12.75">
      <c r="A117" s="118" t="s">
        <v>323</v>
      </c>
      <c r="B117" s="11"/>
      <c r="C117" s="116">
        <v>30960</v>
      </c>
      <c r="D117" s="116">
        <v>30870</v>
      </c>
      <c r="E117" s="116">
        <v>30190</v>
      </c>
      <c r="F117" s="116">
        <v>30250</v>
      </c>
      <c r="G117" s="116">
        <v>29610</v>
      </c>
      <c r="H117" s="116">
        <v>29210</v>
      </c>
      <c r="I117" s="116">
        <v>29140</v>
      </c>
      <c r="J117" s="116">
        <v>28590</v>
      </c>
      <c r="K117" s="116">
        <v>29600</v>
      </c>
      <c r="L117" s="116">
        <v>29140</v>
      </c>
      <c r="M117" s="116">
        <v>28250</v>
      </c>
      <c r="N117" s="116">
        <v>28230</v>
      </c>
      <c r="O117" s="116">
        <v>29160</v>
      </c>
      <c r="P117" s="116">
        <v>29040</v>
      </c>
      <c r="Q117" s="116">
        <v>30000</v>
      </c>
      <c r="R117" s="116">
        <v>31090</v>
      </c>
      <c r="S117" s="116">
        <v>31230</v>
      </c>
      <c r="T117" s="116">
        <v>31080</v>
      </c>
      <c r="U117" s="116">
        <v>30800</v>
      </c>
      <c r="V117" s="116">
        <v>30550</v>
      </c>
      <c r="W117" s="116">
        <v>30350</v>
      </c>
      <c r="X117" s="116">
        <v>30190</v>
      </c>
      <c r="Y117" s="116">
        <v>30070</v>
      </c>
      <c r="Z117" s="116">
        <v>29980</v>
      </c>
      <c r="AA117" s="116">
        <v>29920</v>
      </c>
      <c r="AB117" s="116">
        <v>29880</v>
      </c>
      <c r="AC117" s="116">
        <v>29860</v>
      </c>
      <c r="AD117" s="116">
        <v>29850</v>
      </c>
      <c r="AE117" s="116">
        <v>29840</v>
      </c>
      <c r="AF117" s="116">
        <v>29840</v>
      </c>
      <c r="AG117" s="116">
        <v>29850</v>
      </c>
      <c r="AH117" s="116">
        <v>29850</v>
      </c>
      <c r="AI117" s="116">
        <v>29860</v>
      </c>
      <c r="AJ117" s="116">
        <v>29870</v>
      </c>
      <c r="AK117" s="116">
        <v>29870</v>
      </c>
      <c r="AL117" s="116">
        <v>29870</v>
      </c>
      <c r="AM117" s="116">
        <v>29850</v>
      </c>
      <c r="AN117" s="116">
        <v>29810</v>
      </c>
      <c r="AO117" s="116">
        <v>29770</v>
      </c>
      <c r="AP117" s="116">
        <v>29720</v>
      </c>
      <c r="AQ117" s="116">
        <v>29690</v>
      </c>
      <c r="AR117" s="116">
        <v>29670</v>
      </c>
      <c r="AS117" s="116">
        <v>29670</v>
      </c>
      <c r="AT117" s="116">
        <v>29700</v>
      </c>
      <c r="AU117" s="116">
        <v>29740</v>
      </c>
      <c r="AV117" s="116">
        <v>29800</v>
      </c>
      <c r="AW117" s="116">
        <v>29870</v>
      </c>
      <c r="AX117" s="116">
        <v>29950</v>
      </c>
      <c r="AY117" s="116">
        <v>30030</v>
      </c>
      <c r="AZ117" s="116">
        <v>30100</v>
      </c>
      <c r="BA117" s="116">
        <v>30150</v>
      </c>
      <c r="BB117" s="116">
        <v>30180</v>
      </c>
      <c r="BC117" s="116">
        <v>30190</v>
      </c>
      <c r="BD117" s="116">
        <v>30180</v>
      </c>
      <c r="BE117" s="116">
        <v>30160</v>
      </c>
      <c r="BF117" s="116">
        <v>30130</v>
      </c>
    </row>
    <row r="118" spans="1:58" ht="12.75">
      <c r="A118" s="118" t="s">
        <v>324</v>
      </c>
      <c r="B118" s="11"/>
      <c r="C118" s="116">
        <v>32030</v>
      </c>
      <c r="D118" s="116">
        <v>31140</v>
      </c>
      <c r="E118" s="116">
        <v>31030</v>
      </c>
      <c r="F118" s="116">
        <v>30360</v>
      </c>
      <c r="G118" s="116">
        <v>30420</v>
      </c>
      <c r="H118" s="116">
        <v>29790</v>
      </c>
      <c r="I118" s="116">
        <v>29380</v>
      </c>
      <c r="J118" s="116">
        <v>29320</v>
      </c>
      <c r="K118" s="116">
        <v>28760</v>
      </c>
      <c r="L118" s="116">
        <v>29780</v>
      </c>
      <c r="M118" s="116">
        <v>29310</v>
      </c>
      <c r="N118" s="116">
        <v>28430</v>
      </c>
      <c r="O118" s="116">
        <v>28410</v>
      </c>
      <c r="P118" s="116">
        <v>29340</v>
      </c>
      <c r="Q118" s="116">
        <v>29220</v>
      </c>
      <c r="R118" s="116">
        <v>30180</v>
      </c>
      <c r="S118" s="116">
        <v>31270</v>
      </c>
      <c r="T118" s="116">
        <v>31400</v>
      </c>
      <c r="U118" s="116">
        <v>31260</v>
      </c>
      <c r="V118" s="116">
        <v>30970</v>
      </c>
      <c r="W118" s="116">
        <v>30730</v>
      </c>
      <c r="X118" s="116">
        <v>30530</v>
      </c>
      <c r="Y118" s="116">
        <v>30370</v>
      </c>
      <c r="Z118" s="116">
        <v>30240</v>
      </c>
      <c r="AA118" s="116">
        <v>30150</v>
      </c>
      <c r="AB118" s="116">
        <v>30090</v>
      </c>
      <c r="AC118" s="116">
        <v>30060</v>
      </c>
      <c r="AD118" s="116">
        <v>30040</v>
      </c>
      <c r="AE118" s="116">
        <v>30030</v>
      </c>
      <c r="AF118" s="116">
        <v>30020</v>
      </c>
      <c r="AG118" s="116">
        <v>30020</v>
      </c>
      <c r="AH118" s="116">
        <v>30020</v>
      </c>
      <c r="AI118" s="116">
        <v>30030</v>
      </c>
      <c r="AJ118" s="116">
        <v>30040</v>
      </c>
      <c r="AK118" s="116">
        <v>30050</v>
      </c>
      <c r="AL118" s="116">
        <v>30050</v>
      </c>
      <c r="AM118" s="116">
        <v>30050</v>
      </c>
      <c r="AN118" s="116">
        <v>30030</v>
      </c>
      <c r="AO118" s="116">
        <v>29990</v>
      </c>
      <c r="AP118" s="116">
        <v>29950</v>
      </c>
      <c r="AQ118" s="116">
        <v>29900</v>
      </c>
      <c r="AR118" s="116">
        <v>29870</v>
      </c>
      <c r="AS118" s="116">
        <v>29850</v>
      </c>
      <c r="AT118" s="116">
        <v>29850</v>
      </c>
      <c r="AU118" s="116">
        <v>29880</v>
      </c>
      <c r="AV118" s="116">
        <v>29920</v>
      </c>
      <c r="AW118" s="116">
        <v>29980</v>
      </c>
      <c r="AX118" s="116">
        <v>30050</v>
      </c>
      <c r="AY118" s="116">
        <v>30130</v>
      </c>
      <c r="AZ118" s="116">
        <v>30210</v>
      </c>
      <c r="BA118" s="116">
        <v>30280</v>
      </c>
      <c r="BB118" s="116">
        <v>30330</v>
      </c>
      <c r="BC118" s="116">
        <v>30360</v>
      </c>
      <c r="BD118" s="116">
        <v>30370</v>
      </c>
      <c r="BE118" s="116">
        <v>30360</v>
      </c>
      <c r="BF118" s="116">
        <v>30340</v>
      </c>
    </row>
    <row r="119" spans="1:58" ht="12.75">
      <c r="A119" s="118" t="s">
        <v>325</v>
      </c>
      <c r="B119" s="11"/>
      <c r="C119" s="116">
        <v>31990</v>
      </c>
      <c r="D119" s="116">
        <v>32250</v>
      </c>
      <c r="E119" s="116">
        <v>31330</v>
      </c>
      <c r="F119" s="116">
        <v>31240</v>
      </c>
      <c r="G119" s="116">
        <v>30580</v>
      </c>
      <c r="H119" s="116">
        <v>30640</v>
      </c>
      <c r="I119" s="116">
        <v>30010</v>
      </c>
      <c r="J119" s="116">
        <v>29600</v>
      </c>
      <c r="K119" s="116">
        <v>29540</v>
      </c>
      <c r="L119" s="116">
        <v>28980</v>
      </c>
      <c r="M119" s="116">
        <v>30000</v>
      </c>
      <c r="N119" s="116">
        <v>29530</v>
      </c>
      <c r="O119" s="116">
        <v>28650</v>
      </c>
      <c r="P119" s="116">
        <v>28620</v>
      </c>
      <c r="Q119" s="116">
        <v>29560</v>
      </c>
      <c r="R119" s="116">
        <v>29440</v>
      </c>
      <c r="S119" s="116">
        <v>30390</v>
      </c>
      <c r="T119" s="116">
        <v>31490</v>
      </c>
      <c r="U119" s="116">
        <v>31620</v>
      </c>
      <c r="V119" s="116">
        <v>31480</v>
      </c>
      <c r="W119" s="116">
        <v>31190</v>
      </c>
      <c r="X119" s="116">
        <v>30950</v>
      </c>
      <c r="Y119" s="116">
        <v>30750</v>
      </c>
      <c r="Z119" s="116">
        <v>30590</v>
      </c>
      <c r="AA119" s="116">
        <v>30460</v>
      </c>
      <c r="AB119" s="116">
        <v>30370</v>
      </c>
      <c r="AC119" s="116">
        <v>30310</v>
      </c>
      <c r="AD119" s="116">
        <v>30280</v>
      </c>
      <c r="AE119" s="116">
        <v>30260</v>
      </c>
      <c r="AF119" s="116">
        <v>30250</v>
      </c>
      <c r="AG119" s="116">
        <v>30240</v>
      </c>
      <c r="AH119" s="116">
        <v>30240</v>
      </c>
      <c r="AI119" s="116">
        <v>30240</v>
      </c>
      <c r="AJ119" s="116">
        <v>30250</v>
      </c>
      <c r="AK119" s="116">
        <v>30260</v>
      </c>
      <c r="AL119" s="116">
        <v>30270</v>
      </c>
      <c r="AM119" s="116">
        <v>30270</v>
      </c>
      <c r="AN119" s="116">
        <v>30270</v>
      </c>
      <c r="AO119" s="116">
        <v>30250</v>
      </c>
      <c r="AP119" s="116">
        <v>30210</v>
      </c>
      <c r="AQ119" s="116">
        <v>30160</v>
      </c>
      <c r="AR119" s="116">
        <v>30120</v>
      </c>
      <c r="AS119" s="116">
        <v>30090</v>
      </c>
      <c r="AT119" s="116">
        <v>30070</v>
      </c>
      <c r="AU119" s="116">
        <v>30070</v>
      </c>
      <c r="AV119" s="116">
        <v>30100</v>
      </c>
      <c r="AW119" s="116">
        <v>30140</v>
      </c>
      <c r="AX119" s="116">
        <v>30200</v>
      </c>
      <c r="AY119" s="116">
        <v>30270</v>
      </c>
      <c r="AZ119" s="116">
        <v>30350</v>
      </c>
      <c r="BA119" s="116">
        <v>30430</v>
      </c>
      <c r="BB119" s="116">
        <v>30500</v>
      </c>
      <c r="BC119" s="116">
        <v>30550</v>
      </c>
      <c r="BD119" s="116">
        <v>30580</v>
      </c>
      <c r="BE119" s="116">
        <v>30590</v>
      </c>
      <c r="BF119" s="116">
        <v>30580</v>
      </c>
    </row>
    <row r="120" spans="1:58" ht="12.75">
      <c r="A120" s="118" t="s">
        <v>326</v>
      </c>
      <c r="B120" s="11"/>
      <c r="C120" s="116">
        <v>30880</v>
      </c>
      <c r="D120" s="116">
        <v>32200</v>
      </c>
      <c r="E120" s="116">
        <v>32440</v>
      </c>
      <c r="F120" s="116">
        <v>31540</v>
      </c>
      <c r="G120" s="116">
        <v>31460</v>
      </c>
      <c r="H120" s="116">
        <v>30790</v>
      </c>
      <c r="I120" s="116">
        <v>30860</v>
      </c>
      <c r="J120" s="116">
        <v>30220</v>
      </c>
      <c r="K120" s="116">
        <v>29820</v>
      </c>
      <c r="L120" s="116">
        <v>29750</v>
      </c>
      <c r="M120" s="116">
        <v>29200</v>
      </c>
      <c r="N120" s="116">
        <v>30220</v>
      </c>
      <c r="O120" s="116">
        <v>29750</v>
      </c>
      <c r="P120" s="116">
        <v>28870</v>
      </c>
      <c r="Q120" s="116">
        <v>28840</v>
      </c>
      <c r="R120" s="116">
        <v>29780</v>
      </c>
      <c r="S120" s="116">
        <v>29660</v>
      </c>
      <c r="T120" s="116">
        <v>30610</v>
      </c>
      <c r="U120" s="116">
        <v>31710</v>
      </c>
      <c r="V120" s="116">
        <v>31840</v>
      </c>
      <c r="W120" s="116">
        <v>31700</v>
      </c>
      <c r="X120" s="116">
        <v>31410</v>
      </c>
      <c r="Y120" s="116">
        <v>31170</v>
      </c>
      <c r="Z120" s="116">
        <v>30970</v>
      </c>
      <c r="AA120" s="116">
        <v>30810</v>
      </c>
      <c r="AB120" s="116">
        <v>30680</v>
      </c>
      <c r="AC120" s="116">
        <v>30590</v>
      </c>
      <c r="AD120" s="116">
        <v>30530</v>
      </c>
      <c r="AE120" s="116">
        <v>30500</v>
      </c>
      <c r="AF120" s="116">
        <v>30480</v>
      </c>
      <c r="AG120" s="116">
        <v>30470</v>
      </c>
      <c r="AH120" s="116">
        <v>30460</v>
      </c>
      <c r="AI120" s="116">
        <v>30460</v>
      </c>
      <c r="AJ120" s="116">
        <v>30460</v>
      </c>
      <c r="AK120" s="116">
        <v>30470</v>
      </c>
      <c r="AL120" s="116">
        <v>30480</v>
      </c>
      <c r="AM120" s="116">
        <v>30490</v>
      </c>
      <c r="AN120" s="116">
        <v>30490</v>
      </c>
      <c r="AO120" s="116">
        <v>30490</v>
      </c>
      <c r="AP120" s="116">
        <v>30470</v>
      </c>
      <c r="AQ120" s="116">
        <v>30430</v>
      </c>
      <c r="AR120" s="116">
        <v>30390</v>
      </c>
      <c r="AS120" s="116">
        <v>30340</v>
      </c>
      <c r="AT120" s="116">
        <v>30310</v>
      </c>
      <c r="AU120" s="116">
        <v>30290</v>
      </c>
      <c r="AV120" s="116">
        <v>30290</v>
      </c>
      <c r="AW120" s="116">
        <v>30320</v>
      </c>
      <c r="AX120" s="116">
        <v>30360</v>
      </c>
      <c r="AY120" s="116">
        <v>30420</v>
      </c>
      <c r="AZ120" s="116">
        <v>30490</v>
      </c>
      <c r="BA120" s="116">
        <v>30570</v>
      </c>
      <c r="BB120" s="116">
        <v>30650</v>
      </c>
      <c r="BC120" s="116">
        <v>30720</v>
      </c>
      <c r="BD120" s="116">
        <v>30770</v>
      </c>
      <c r="BE120" s="116">
        <v>30800</v>
      </c>
      <c r="BF120" s="116">
        <v>30810</v>
      </c>
    </row>
    <row r="121" spans="1:58" ht="12.75">
      <c r="A121" s="118" t="s">
        <v>327</v>
      </c>
      <c r="B121" s="11"/>
      <c r="C121" s="116">
        <v>30180</v>
      </c>
      <c r="D121" s="116">
        <v>31070</v>
      </c>
      <c r="E121" s="116">
        <v>32360</v>
      </c>
      <c r="F121" s="116">
        <v>32620</v>
      </c>
      <c r="G121" s="116">
        <v>31730</v>
      </c>
      <c r="H121" s="116">
        <v>31650</v>
      </c>
      <c r="I121" s="116">
        <v>30980</v>
      </c>
      <c r="J121" s="116">
        <v>31050</v>
      </c>
      <c r="K121" s="116">
        <v>30420</v>
      </c>
      <c r="L121" s="116">
        <v>30010</v>
      </c>
      <c r="M121" s="116">
        <v>29950</v>
      </c>
      <c r="N121" s="116">
        <v>29390</v>
      </c>
      <c r="O121" s="116">
        <v>30410</v>
      </c>
      <c r="P121" s="116">
        <v>29940</v>
      </c>
      <c r="Q121" s="116">
        <v>29060</v>
      </c>
      <c r="R121" s="116">
        <v>29040</v>
      </c>
      <c r="S121" s="116">
        <v>29970</v>
      </c>
      <c r="T121" s="116">
        <v>29850</v>
      </c>
      <c r="U121" s="116">
        <v>30810</v>
      </c>
      <c r="V121" s="116">
        <v>31900</v>
      </c>
      <c r="W121" s="116">
        <v>32030</v>
      </c>
      <c r="X121" s="116">
        <v>31890</v>
      </c>
      <c r="Y121" s="116">
        <v>31600</v>
      </c>
      <c r="Z121" s="116">
        <v>31360</v>
      </c>
      <c r="AA121" s="116">
        <v>31160</v>
      </c>
      <c r="AB121" s="116">
        <v>31000</v>
      </c>
      <c r="AC121" s="116">
        <v>30880</v>
      </c>
      <c r="AD121" s="116">
        <v>30790</v>
      </c>
      <c r="AE121" s="116">
        <v>30730</v>
      </c>
      <c r="AF121" s="116">
        <v>30690</v>
      </c>
      <c r="AG121" s="116">
        <v>30670</v>
      </c>
      <c r="AH121" s="116">
        <v>30660</v>
      </c>
      <c r="AI121" s="116">
        <v>30660</v>
      </c>
      <c r="AJ121" s="116">
        <v>30650</v>
      </c>
      <c r="AK121" s="116">
        <v>30660</v>
      </c>
      <c r="AL121" s="116">
        <v>30670</v>
      </c>
      <c r="AM121" s="116">
        <v>30670</v>
      </c>
      <c r="AN121" s="116">
        <v>30680</v>
      </c>
      <c r="AO121" s="116">
        <v>30690</v>
      </c>
      <c r="AP121" s="116">
        <v>30690</v>
      </c>
      <c r="AQ121" s="116">
        <v>30670</v>
      </c>
      <c r="AR121" s="116">
        <v>30630</v>
      </c>
      <c r="AS121" s="116">
        <v>30580</v>
      </c>
      <c r="AT121" s="116">
        <v>30540</v>
      </c>
      <c r="AU121" s="116">
        <v>30500</v>
      </c>
      <c r="AV121" s="116">
        <v>30490</v>
      </c>
      <c r="AW121" s="116">
        <v>30490</v>
      </c>
      <c r="AX121" s="116">
        <v>30510</v>
      </c>
      <c r="AY121" s="116">
        <v>30560</v>
      </c>
      <c r="AZ121" s="116">
        <v>30620</v>
      </c>
      <c r="BA121" s="116">
        <v>30690</v>
      </c>
      <c r="BB121" s="116">
        <v>30770</v>
      </c>
      <c r="BC121" s="116">
        <v>30850</v>
      </c>
      <c r="BD121" s="116">
        <v>30910</v>
      </c>
      <c r="BE121" s="116">
        <v>30960</v>
      </c>
      <c r="BF121" s="116">
        <v>31000</v>
      </c>
    </row>
    <row r="122" spans="1:58" ht="12.75">
      <c r="A122" s="118" t="s">
        <v>328</v>
      </c>
      <c r="B122" s="11"/>
      <c r="C122" s="116">
        <v>29070</v>
      </c>
      <c r="D122" s="116">
        <v>30300</v>
      </c>
      <c r="E122" s="116">
        <v>31150</v>
      </c>
      <c r="F122" s="116">
        <v>32470</v>
      </c>
      <c r="G122" s="116">
        <v>32740</v>
      </c>
      <c r="H122" s="116">
        <v>31850</v>
      </c>
      <c r="I122" s="116">
        <v>31770</v>
      </c>
      <c r="J122" s="116">
        <v>31110</v>
      </c>
      <c r="K122" s="116">
        <v>31170</v>
      </c>
      <c r="L122" s="116">
        <v>30540</v>
      </c>
      <c r="M122" s="116">
        <v>30140</v>
      </c>
      <c r="N122" s="116">
        <v>30070</v>
      </c>
      <c r="O122" s="116">
        <v>29520</v>
      </c>
      <c r="P122" s="116">
        <v>30530</v>
      </c>
      <c r="Q122" s="116">
        <v>30070</v>
      </c>
      <c r="R122" s="116">
        <v>29180</v>
      </c>
      <c r="S122" s="116">
        <v>29160</v>
      </c>
      <c r="T122" s="116">
        <v>30100</v>
      </c>
      <c r="U122" s="116">
        <v>29980</v>
      </c>
      <c r="V122" s="116">
        <v>30930</v>
      </c>
      <c r="W122" s="116">
        <v>32020</v>
      </c>
      <c r="X122" s="116">
        <v>32160</v>
      </c>
      <c r="Y122" s="116">
        <v>32020</v>
      </c>
      <c r="Z122" s="116">
        <v>31730</v>
      </c>
      <c r="AA122" s="116">
        <v>31490</v>
      </c>
      <c r="AB122" s="116">
        <v>31290</v>
      </c>
      <c r="AC122" s="116">
        <v>31130</v>
      </c>
      <c r="AD122" s="116">
        <v>31000</v>
      </c>
      <c r="AE122" s="116">
        <v>30910</v>
      </c>
      <c r="AF122" s="116">
        <v>30850</v>
      </c>
      <c r="AG122" s="116">
        <v>30820</v>
      </c>
      <c r="AH122" s="116">
        <v>30800</v>
      </c>
      <c r="AI122" s="116">
        <v>30790</v>
      </c>
      <c r="AJ122" s="116">
        <v>30780</v>
      </c>
      <c r="AK122" s="116">
        <v>30780</v>
      </c>
      <c r="AL122" s="116">
        <v>30780</v>
      </c>
      <c r="AM122" s="116">
        <v>30790</v>
      </c>
      <c r="AN122" s="116">
        <v>30800</v>
      </c>
      <c r="AO122" s="116">
        <v>30810</v>
      </c>
      <c r="AP122" s="116">
        <v>30820</v>
      </c>
      <c r="AQ122" s="116">
        <v>30820</v>
      </c>
      <c r="AR122" s="116">
        <v>30790</v>
      </c>
      <c r="AS122" s="116">
        <v>30750</v>
      </c>
      <c r="AT122" s="116">
        <v>30710</v>
      </c>
      <c r="AU122" s="116">
        <v>30660</v>
      </c>
      <c r="AV122" s="116">
        <v>30630</v>
      </c>
      <c r="AW122" s="116">
        <v>30610</v>
      </c>
      <c r="AX122" s="116">
        <v>30620</v>
      </c>
      <c r="AY122" s="116">
        <v>30640</v>
      </c>
      <c r="AZ122" s="116">
        <v>30680</v>
      </c>
      <c r="BA122" s="116">
        <v>30740</v>
      </c>
      <c r="BB122" s="116">
        <v>30820</v>
      </c>
      <c r="BC122" s="116">
        <v>30900</v>
      </c>
      <c r="BD122" s="116">
        <v>30970</v>
      </c>
      <c r="BE122" s="116">
        <v>31040</v>
      </c>
      <c r="BF122" s="116">
        <v>31090</v>
      </c>
    </row>
    <row r="123" spans="1:58" ht="12.75">
      <c r="A123" s="118" t="s">
        <v>329</v>
      </c>
      <c r="B123" s="11"/>
      <c r="C123" s="116">
        <v>29720</v>
      </c>
      <c r="D123" s="116">
        <v>29040</v>
      </c>
      <c r="E123" s="116">
        <v>30210</v>
      </c>
      <c r="F123" s="116">
        <v>31100</v>
      </c>
      <c r="G123" s="116">
        <v>32430</v>
      </c>
      <c r="H123" s="116">
        <v>32710</v>
      </c>
      <c r="I123" s="116">
        <v>31820</v>
      </c>
      <c r="J123" s="116">
        <v>31730</v>
      </c>
      <c r="K123" s="116">
        <v>31070</v>
      </c>
      <c r="L123" s="116">
        <v>31130</v>
      </c>
      <c r="M123" s="116">
        <v>30500</v>
      </c>
      <c r="N123" s="116">
        <v>30100</v>
      </c>
      <c r="O123" s="116">
        <v>30030</v>
      </c>
      <c r="P123" s="116">
        <v>29480</v>
      </c>
      <c r="Q123" s="116">
        <v>30500</v>
      </c>
      <c r="R123" s="116">
        <v>30030</v>
      </c>
      <c r="S123" s="116">
        <v>29150</v>
      </c>
      <c r="T123" s="116">
        <v>29130</v>
      </c>
      <c r="U123" s="116">
        <v>30060</v>
      </c>
      <c r="V123" s="116">
        <v>29940</v>
      </c>
      <c r="W123" s="116">
        <v>30900</v>
      </c>
      <c r="X123" s="116">
        <v>31990</v>
      </c>
      <c r="Y123" s="116">
        <v>32120</v>
      </c>
      <c r="Z123" s="116">
        <v>31980</v>
      </c>
      <c r="AA123" s="116">
        <v>31690</v>
      </c>
      <c r="AB123" s="116">
        <v>31450</v>
      </c>
      <c r="AC123" s="116">
        <v>31250</v>
      </c>
      <c r="AD123" s="116">
        <v>31090</v>
      </c>
      <c r="AE123" s="116">
        <v>30970</v>
      </c>
      <c r="AF123" s="116">
        <v>30880</v>
      </c>
      <c r="AG123" s="116">
        <v>30820</v>
      </c>
      <c r="AH123" s="116">
        <v>30780</v>
      </c>
      <c r="AI123" s="116">
        <v>30770</v>
      </c>
      <c r="AJ123" s="116">
        <v>30760</v>
      </c>
      <c r="AK123" s="116">
        <v>30750</v>
      </c>
      <c r="AL123" s="116">
        <v>30750</v>
      </c>
      <c r="AM123" s="116">
        <v>30750</v>
      </c>
      <c r="AN123" s="116">
        <v>30760</v>
      </c>
      <c r="AO123" s="116">
        <v>30770</v>
      </c>
      <c r="AP123" s="116">
        <v>30780</v>
      </c>
      <c r="AQ123" s="116">
        <v>30780</v>
      </c>
      <c r="AR123" s="116">
        <v>30780</v>
      </c>
      <c r="AS123" s="116">
        <v>30760</v>
      </c>
      <c r="AT123" s="116">
        <v>30720</v>
      </c>
      <c r="AU123" s="116">
        <v>30670</v>
      </c>
      <c r="AV123" s="116">
        <v>30630</v>
      </c>
      <c r="AW123" s="116">
        <v>30600</v>
      </c>
      <c r="AX123" s="116">
        <v>30580</v>
      </c>
      <c r="AY123" s="116">
        <v>30580</v>
      </c>
      <c r="AZ123" s="116">
        <v>30610</v>
      </c>
      <c r="BA123" s="116">
        <v>30650</v>
      </c>
      <c r="BB123" s="116">
        <v>30710</v>
      </c>
      <c r="BC123" s="116">
        <v>30780</v>
      </c>
      <c r="BD123" s="116">
        <v>30860</v>
      </c>
      <c r="BE123" s="116">
        <v>30940</v>
      </c>
      <c r="BF123" s="116">
        <v>31010</v>
      </c>
    </row>
    <row r="124" spans="1:58" ht="12.75">
      <c r="A124" s="118" t="s">
        <v>330</v>
      </c>
      <c r="B124" s="11"/>
      <c r="C124" s="116">
        <v>29650</v>
      </c>
      <c r="D124" s="116">
        <v>29450</v>
      </c>
      <c r="E124" s="116">
        <v>28720</v>
      </c>
      <c r="F124" s="116">
        <v>29930</v>
      </c>
      <c r="G124" s="116">
        <v>30830</v>
      </c>
      <c r="H124" s="116">
        <v>32170</v>
      </c>
      <c r="I124" s="116">
        <v>32440</v>
      </c>
      <c r="J124" s="116">
        <v>31550</v>
      </c>
      <c r="K124" s="116">
        <v>31470</v>
      </c>
      <c r="L124" s="116">
        <v>30810</v>
      </c>
      <c r="M124" s="116">
        <v>30870</v>
      </c>
      <c r="N124" s="116">
        <v>30240</v>
      </c>
      <c r="O124" s="116">
        <v>29840</v>
      </c>
      <c r="P124" s="116">
        <v>29770</v>
      </c>
      <c r="Q124" s="116">
        <v>29220</v>
      </c>
      <c r="R124" s="116">
        <v>30240</v>
      </c>
      <c r="S124" s="116">
        <v>29770</v>
      </c>
      <c r="T124" s="116">
        <v>28890</v>
      </c>
      <c r="U124" s="116">
        <v>28870</v>
      </c>
      <c r="V124" s="116">
        <v>29800</v>
      </c>
      <c r="W124" s="116">
        <v>29680</v>
      </c>
      <c r="X124" s="116">
        <v>30640</v>
      </c>
      <c r="Y124" s="116">
        <v>31730</v>
      </c>
      <c r="Z124" s="116">
        <v>31860</v>
      </c>
      <c r="AA124" s="116">
        <v>31720</v>
      </c>
      <c r="AB124" s="116">
        <v>31430</v>
      </c>
      <c r="AC124" s="116">
        <v>31190</v>
      </c>
      <c r="AD124" s="116">
        <v>30990</v>
      </c>
      <c r="AE124" s="116">
        <v>30830</v>
      </c>
      <c r="AF124" s="116">
        <v>30710</v>
      </c>
      <c r="AG124" s="116">
        <v>30620</v>
      </c>
      <c r="AH124" s="116">
        <v>30560</v>
      </c>
      <c r="AI124" s="116">
        <v>30530</v>
      </c>
      <c r="AJ124" s="116">
        <v>30510</v>
      </c>
      <c r="AK124" s="116">
        <v>30500</v>
      </c>
      <c r="AL124" s="116">
        <v>30490</v>
      </c>
      <c r="AM124" s="116">
        <v>30490</v>
      </c>
      <c r="AN124" s="116">
        <v>30490</v>
      </c>
      <c r="AO124" s="116">
        <v>30500</v>
      </c>
      <c r="AP124" s="116">
        <v>30510</v>
      </c>
      <c r="AQ124" s="116">
        <v>30520</v>
      </c>
      <c r="AR124" s="116">
        <v>30520</v>
      </c>
      <c r="AS124" s="116">
        <v>30520</v>
      </c>
      <c r="AT124" s="116">
        <v>30500</v>
      </c>
      <c r="AU124" s="116">
        <v>30460</v>
      </c>
      <c r="AV124" s="116">
        <v>30420</v>
      </c>
      <c r="AW124" s="116">
        <v>30370</v>
      </c>
      <c r="AX124" s="116">
        <v>30340</v>
      </c>
      <c r="AY124" s="116">
        <v>30320</v>
      </c>
      <c r="AZ124" s="116">
        <v>30330</v>
      </c>
      <c r="BA124" s="116">
        <v>30350</v>
      </c>
      <c r="BB124" s="116">
        <v>30390</v>
      </c>
      <c r="BC124" s="116">
        <v>30450</v>
      </c>
      <c r="BD124" s="116">
        <v>30530</v>
      </c>
      <c r="BE124" s="116">
        <v>30610</v>
      </c>
      <c r="BF124" s="116">
        <v>30680</v>
      </c>
    </row>
    <row r="125" spans="1:58" ht="12.75">
      <c r="A125" s="118" t="s">
        <v>331</v>
      </c>
      <c r="B125" s="11"/>
      <c r="C125" s="116">
        <v>29240</v>
      </c>
      <c r="D125" s="116">
        <v>29240</v>
      </c>
      <c r="E125" s="116">
        <v>28990</v>
      </c>
      <c r="F125" s="116">
        <v>28300</v>
      </c>
      <c r="G125" s="116">
        <v>29520</v>
      </c>
      <c r="H125" s="116">
        <v>30430</v>
      </c>
      <c r="I125" s="116">
        <v>31760</v>
      </c>
      <c r="J125" s="116">
        <v>32030</v>
      </c>
      <c r="K125" s="116">
        <v>31150</v>
      </c>
      <c r="L125" s="116">
        <v>31060</v>
      </c>
      <c r="M125" s="116">
        <v>30400</v>
      </c>
      <c r="N125" s="116">
        <v>30470</v>
      </c>
      <c r="O125" s="116">
        <v>29840</v>
      </c>
      <c r="P125" s="116">
        <v>29430</v>
      </c>
      <c r="Q125" s="116">
        <v>29370</v>
      </c>
      <c r="R125" s="116">
        <v>28820</v>
      </c>
      <c r="S125" s="116">
        <v>29830</v>
      </c>
      <c r="T125" s="116">
        <v>29370</v>
      </c>
      <c r="U125" s="116">
        <v>28480</v>
      </c>
      <c r="V125" s="116">
        <v>28460</v>
      </c>
      <c r="W125" s="116">
        <v>29400</v>
      </c>
      <c r="X125" s="116">
        <v>29280</v>
      </c>
      <c r="Y125" s="116">
        <v>30230</v>
      </c>
      <c r="Z125" s="116">
        <v>31320</v>
      </c>
      <c r="AA125" s="116">
        <v>31460</v>
      </c>
      <c r="AB125" s="116">
        <v>31320</v>
      </c>
      <c r="AC125" s="116">
        <v>31030</v>
      </c>
      <c r="AD125" s="116">
        <v>30790</v>
      </c>
      <c r="AE125" s="116">
        <v>30590</v>
      </c>
      <c r="AF125" s="116">
        <v>30430</v>
      </c>
      <c r="AG125" s="116">
        <v>30310</v>
      </c>
      <c r="AH125" s="116">
        <v>30220</v>
      </c>
      <c r="AI125" s="116">
        <v>30160</v>
      </c>
      <c r="AJ125" s="116">
        <v>30120</v>
      </c>
      <c r="AK125" s="116">
        <v>30100</v>
      </c>
      <c r="AL125" s="116">
        <v>30090</v>
      </c>
      <c r="AM125" s="116">
        <v>30090</v>
      </c>
      <c r="AN125" s="116">
        <v>30090</v>
      </c>
      <c r="AO125" s="116">
        <v>30090</v>
      </c>
      <c r="AP125" s="116">
        <v>30100</v>
      </c>
      <c r="AQ125" s="116">
        <v>30110</v>
      </c>
      <c r="AR125" s="116">
        <v>30120</v>
      </c>
      <c r="AS125" s="116">
        <v>30120</v>
      </c>
      <c r="AT125" s="116">
        <v>30120</v>
      </c>
      <c r="AU125" s="116">
        <v>30100</v>
      </c>
      <c r="AV125" s="116">
        <v>30060</v>
      </c>
      <c r="AW125" s="116">
        <v>30010</v>
      </c>
      <c r="AX125" s="116">
        <v>29970</v>
      </c>
      <c r="AY125" s="116">
        <v>29940</v>
      </c>
      <c r="AZ125" s="116">
        <v>29920</v>
      </c>
      <c r="BA125" s="116">
        <v>29920</v>
      </c>
      <c r="BB125" s="116">
        <v>29950</v>
      </c>
      <c r="BC125" s="116">
        <v>29990</v>
      </c>
      <c r="BD125" s="116">
        <v>30050</v>
      </c>
      <c r="BE125" s="116">
        <v>30120</v>
      </c>
      <c r="BF125" s="116">
        <v>30200</v>
      </c>
    </row>
    <row r="126" spans="1:58" ht="12.75">
      <c r="A126" s="118" t="s">
        <v>332</v>
      </c>
      <c r="B126" s="11"/>
      <c r="C126" s="116">
        <v>28880</v>
      </c>
      <c r="D126" s="116">
        <v>28820</v>
      </c>
      <c r="E126" s="116">
        <v>28770</v>
      </c>
      <c r="F126" s="116">
        <v>28560</v>
      </c>
      <c r="G126" s="116">
        <v>27890</v>
      </c>
      <c r="H126" s="116">
        <v>29110</v>
      </c>
      <c r="I126" s="116">
        <v>30020</v>
      </c>
      <c r="J126" s="116">
        <v>31350</v>
      </c>
      <c r="K126" s="116">
        <v>31620</v>
      </c>
      <c r="L126" s="116">
        <v>30740</v>
      </c>
      <c r="M126" s="116">
        <v>30650</v>
      </c>
      <c r="N126" s="116">
        <v>29990</v>
      </c>
      <c r="O126" s="116">
        <v>30060</v>
      </c>
      <c r="P126" s="116">
        <v>29430</v>
      </c>
      <c r="Q126" s="116">
        <v>29020</v>
      </c>
      <c r="R126" s="116">
        <v>28960</v>
      </c>
      <c r="S126" s="116">
        <v>28410</v>
      </c>
      <c r="T126" s="116">
        <v>29420</v>
      </c>
      <c r="U126" s="116">
        <v>28960</v>
      </c>
      <c r="V126" s="116">
        <v>28080</v>
      </c>
      <c r="W126" s="116">
        <v>28060</v>
      </c>
      <c r="X126" s="116">
        <v>28990</v>
      </c>
      <c r="Y126" s="116">
        <v>28870</v>
      </c>
      <c r="Z126" s="116">
        <v>29830</v>
      </c>
      <c r="AA126" s="116">
        <v>30920</v>
      </c>
      <c r="AB126" s="116">
        <v>31050</v>
      </c>
      <c r="AC126" s="116">
        <v>30910</v>
      </c>
      <c r="AD126" s="116">
        <v>30620</v>
      </c>
      <c r="AE126" s="116">
        <v>30380</v>
      </c>
      <c r="AF126" s="116">
        <v>30180</v>
      </c>
      <c r="AG126" s="116">
        <v>30020</v>
      </c>
      <c r="AH126" s="116">
        <v>29900</v>
      </c>
      <c r="AI126" s="116">
        <v>29810</v>
      </c>
      <c r="AJ126" s="116">
        <v>29750</v>
      </c>
      <c r="AK126" s="116">
        <v>29720</v>
      </c>
      <c r="AL126" s="116">
        <v>29700</v>
      </c>
      <c r="AM126" s="116">
        <v>29690</v>
      </c>
      <c r="AN126" s="116">
        <v>29680</v>
      </c>
      <c r="AO126" s="116">
        <v>29680</v>
      </c>
      <c r="AP126" s="116">
        <v>29680</v>
      </c>
      <c r="AQ126" s="116">
        <v>29690</v>
      </c>
      <c r="AR126" s="116">
        <v>29700</v>
      </c>
      <c r="AS126" s="116">
        <v>29710</v>
      </c>
      <c r="AT126" s="116">
        <v>29710</v>
      </c>
      <c r="AU126" s="116">
        <v>29710</v>
      </c>
      <c r="AV126" s="116">
        <v>29690</v>
      </c>
      <c r="AW126" s="116">
        <v>29650</v>
      </c>
      <c r="AX126" s="116">
        <v>29610</v>
      </c>
      <c r="AY126" s="116">
        <v>29560</v>
      </c>
      <c r="AZ126" s="116">
        <v>29530</v>
      </c>
      <c r="BA126" s="116">
        <v>29510</v>
      </c>
      <c r="BB126" s="116">
        <v>29520</v>
      </c>
      <c r="BC126" s="116">
        <v>29540</v>
      </c>
      <c r="BD126" s="116">
        <v>29580</v>
      </c>
      <c r="BE126" s="116">
        <v>29640</v>
      </c>
      <c r="BF126" s="116">
        <v>29720</v>
      </c>
    </row>
    <row r="127" spans="1:58" ht="12.75">
      <c r="A127" s="118" t="s">
        <v>333</v>
      </c>
      <c r="B127" s="11"/>
      <c r="C127" s="116">
        <v>27860</v>
      </c>
      <c r="D127" s="116">
        <v>28560</v>
      </c>
      <c r="E127" s="116">
        <v>28440</v>
      </c>
      <c r="F127" s="116">
        <v>28430</v>
      </c>
      <c r="G127" s="116">
        <v>28250</v>
      </c>
      <c r="H127" s="116">
        <v>27570</v>
      </c>
      <c r="I127" s="116">
        <v>28800</v>
      </c>
      <c r="J127" s="116">
        <v>29700</v>
      </c>
      <c r="K127" s="116">
        <v>31040</v>
      </c>
      <c r="L127" s="116">
        <v>31310</v>
      </c>
      <c r="M127" s="116">
        <v>30420</v>
      </c>
      <c r="N127" s="116">
        <v>30340</v>
      </c>
      <c r="O127" s="116">
        <v>29680</v>
      </c>
      <c r="P127" s="116">
        <v>29740</v>
      </c>
      <c r="Q127" s="116">
        <v>29110</v>
      </c>
      <c r="R127" s="116">
        <v>28710</v>
      </c>
      <c r="S127" s="116">
        <v>28650</v>
      </c>
      <c r="T127" s="116">
        <v>28100</v>
      </c>
      <c r="U127" s="116">
        <v>29110</v>
      </c>
      <c r="V127" s="116">
        <v>28650</v>
      </c>
      <c r="W127" s="116">
        <v>27770</v>
      </c>
      <c r="X127" s="116">
        <v>27750</v>
      </c>
      <c r="Y127" s="116">
        <v>28680</v>
      </c>
      <c r="Z127" s="116">
        <v>28560</v>
      </c>
      <c r="AA127" s="116">
        <v>29510</v>
      </c>
      <c r="AB127" s="116">
        <v>30600</v>
      </c>
      <c r="AC127" s="116">
        <v>30740</v>
      </c>
      <c r="AD127" s="116">
        <v>30600</v>
      </c>
      <c r="AE127" s="116">
        <v>30310</v>
      </c>
      <c r="AF127" s="116">
        <v>30070</v>
      </c>
      <c r="AG127" s="116">
        <v>29870</v>
      </c>
      <c r="AH127" s="116">
        <v>29710</v>
      </c>
      <c r="AI127" s="116">
        <v>29590</v>
      </c>
      <c r="AJ127" s="116">
        <v>29500</v>
      </c>
      <c r="AK127" s="116">
        <v>29440</v>
      </c>
      <c r="AL127" s="116">
        <v>29400</v>
      </c>
      <c r="AM127" s="116">
        <v>29390</v>
      </c>
      <c r="AN127" s="116">
        <v>29380</v>
      </c>
      <c r="AO127" s="116">
        <v>29370</v>
      </c>
      <c r="AP127" s="116">
        <v>29370</v>
      </c>
      <c r="AQ127" s="116">
        <v>29370</v>
      </c>
      <c r="AR127" s="116">
        <v>29380</v>
      </c>
      <c r="AS127" s="116">
        <v>29390</v>
      </c>
      <c r="AT127" s="116">
        <v>29400</v>
      </c>
      <c r="AU127" s="116">
        <v>29400</v>
      </c>
      <c r="AV127" s="116">
        <v>29400</v>
      </c>
      <c r="AW127" s="116">
        <v>29380</v>
      </c>
      <c r="AX127" s="116">
        <v>29340</v>
      </c>
      <c r="AY127" s="116">
        <v>29300</v>
      </c>
      <c r="AZ127" s="116">
        <v>29250</v>
      </c>
      <c r="BA127" s="116">
        <v>29220</v>
      </c>
      <c r="BB127" s="116">
        <v>29200</v>
      </c>
      <c r="BC127" s="116">
        <v>29210</v>
      </c>
      <c r="BD127" s="116">
        <v>29230</v>
      </c>
      <c r="BE127" s="116">
        <v>29270</v>
      </c>
      <c r="BF127" s="116">
        <v>29330</v>
      </c>
    </row>
    <row r="128" spans="1:58" ht="12.75">
      <c r="A128" s="118" t="s">
        <v>334</v>
      </c>
      <c r="B128" s="11"/>
      <c r="C128" s="116">
        <v>27140</v>
      </c>
      <c r="D128" s="116">
        <v>27750</v>
      </c>
      <c r="E128" s="116">
        <v>28390</v>
      </c>
      <c r="F128" s="116">
        <v>28310</v>
      </c>
      <c r="G128" s="116">
        <v>28320</v>
      </c>
      <c r="H128" s="116">
        <v>28140</v>
      </c>
      <c r="I128" s="116">
        <v>27470</v>
      </c>
      <c r="J128" s="116">
        <v>28690</v>
      </c>
      <c r="K128" s="116">
        <v>29590</v>
      </c>
      <c r="L128" s="116">
        <v>30930</v>
      </c>
      <c r="M128" s="116">
        <v>31200</v>
      </c>
      <c r="N128" s="116">
        <v>30320</v>
      </c>
      <c r="O128" s="116">
        <v>30230</v>
      </c>
      <c r="P128" s="116">
        <v>29570</v>
      </c>
      <c r="Q128" s="116">
        <v>29640</v>
      </c>
      <c r="R128" s="116">
        <v>29010</v>
      </c>
      <c r="S128" s="116">
        <v>28600</v>
      </c>
      <c r="T128" s="116">
        <v>28540</v>
      </c>
      <c r="U128" s="116">
        <v>27990</v>
      </c>
      <c r="V128" s="116">
        <v>29000</v>
      </c>
      <c r="W128" s="116">
        <v>28540</v>
      </c>
      <c r="X128" s="116">
        <v>27660</v>
      </c>
      <c r="Y128" s="116">
        <v>27640</v>
      </c>
      <c r="Z128" s="116">
        <v>28570</v>
      </c>
      <c r="AA128" s="116">
        <v>28450</v>
      </c>
      <c r="AB128" s="116">
        <v>29410</v>
      </c>
      <c r="AC128" s="116">
        <v>30500</v>
      </c>
      <c r="AD128" s="116">
        <v>30630</v>
      </c>
      <c r="AE128" s="116">
        <v>30490</v>
      </c>
      <c r="AF128" s="116">
        <v>30210</v>
      </c>
      <c r="AG128" s="116">
        <v>29960</v>
      </c>
      <c r="AH128" s="116">
        <v>29760</v>
      </c>
      <c r="AI128" s="116">
        <v>29610</v>
      </c>
      <c r="AJ128" s="116">
        <v>29480</v>
      </c>
      <c r="AK128" s="116">
        <v>29390</v>
      </c>
      <c r="AL128" s="116">
        <v>29330</v>
      </c>
      <c r="AM128" s="116">
        <v>29300</v>
      </c>
      <c r="AN128" s="116">
        <v>29280</v>
      </c>
      <c r="AO128" s="116">
        <v>29270</v>
      </c>
      <c r="AP128" s="116">
        <v>29270</v>
      </c>
      <c r="AQ128" s="116">
        <v>29260</v>
      </c>
      <c r="AR128" s="116">
        <v>29270</v>
      </c>
      <c r="AS128" s="116">
        <v>29280</v>
      </c>
      <c r="AT128" s="116">
        <v>29280</v>
      </c>
      <c r="AU128" s="116">
        <v>29290</v>
      </c>
      <c r="AV128" s="116">
        <v>29300</v>
      </c>
      <c r="AW128" s="116">
        <v>29300</v>
      </c>
      <c r="AX128" s="116">
        <v>29280</v>
      </c>
      <c r="AY128" s="116">
        <v>29240</v>
      </c>
      <c r="AZ128" s="116">
        <v>29190</v>
      </c>
      <c r="BA128" s="116">
        <v>29150</v>
      </c>
      <c r="BB128" s="116">
        <v>29120</v>
      </c>
      <c r="BC128" s="116">
        <v>29100</v>
      </c>
      <c r="BD128" s="116">
        <v>29100</v>
      </c>
      <c r="BE128" s="116">
        <v>29130</v>
      </c>
      <c r="BF128" s="116">
        <v>29170</v>
      </c>
    </row>
    <row r="129" spans="1:58" ht="12.75">
      <c r="A129" s="118" t="s">
        <v>335</v>
      </c>
      <c r="B129" s="11"/>
      <c r="C129" s="116">
        <v>26810</v>
      </c>
      <c r="D129" s="116">
        <v>27260</v>
      </c>
      <c r="E129" s="116">
        <v>27820</v>
      </c>
      <c r="F129" s="116">
        <v>28500</v>
      </c>
      <c r="G129" s="116">
        <v>28430</v>
      </c>
      <c r="H129" s="116">
        <v>28450</v>
      </c>
      <c r="I129" s="116">
        <v>28260</v>
      </c>
      <c r="J129" s="116">
        <v>27590</v>
      </c>
      <c r="K129" s="116">
        <v>28810</v>
      </c>
      <c r="L129" s="116">
        <v>29710</v>
      </c>
      <c r="M129" s="116">
        <v>31050</v>
      </c>
      <c r="N129" s="116">
        <v>31320</v>
      </c>
      <c r="O129" s="116">
        <v>30440</v>
      </c>
      <c r="P129" s="116">
        <v>30350</v>
      </c>
      <c r="Q129" s="116">
        <v>29690</v>
      </c>
      <c r="R129" s="116">
        <v>29760</v>
      </c>
      <c r="S129" s="116">
        <v>29130</v>
      </c>
      <c r="T129" s="116">
        <v>28730</v>
      </c>
      <c r="U129" s="116">
        <v>28660</v>
      </c>
      <c r="V129" s="116">
        <v>28110</v>
      </c>
      <c r="W129" s="116">
        <v>29130</v>
      </c>
      <c r="X129" s="116">
        <v>28660</v>
      </c>
      <c r="Y129" s="116">
        <v>27780</v>
      </c>
      <c r="Z129" s="116">
        <v>27760</v>
      </c>
      <c r="AA129" s="116">
        <v>28700</v>
      </c>
      <c r="AB129" s="116">
        <v>28580</v>
      </c>
      <c r="AC129" s="116">
        <v>29530</v>
      </c>
      <c r="AD129" s="116">
        <v>30620</v>
      </c>
      <c r="AE129" s="116">
        <v>30750</v>
      </c>
      <c r="AF129" s="116">
        <v>30620</v>
      </c>
      <c r="AG129" s="116">
        <v>30330</v>
      </c>
      <c r="AH129" s="116">
        <v>30090</v>
      </c>
      <c r="AI129" s="116">
        <v>29890</v>
      </c>
      <c r="AJ129" s="116">
        <v>29730</v>
      </c>
      <c r="AK129" s="116">
        <v>29610</v>
      </c>
      <c r="AL129" s="116">
        <v>29520</v>
      </c>
      <c r="AM129" s="116">
        <v>29460</v>
      </c>
      <c r="AN129" s="116">
        <v>29420</v>
      </c>
      <c r="AO129" s="116">
        <v>29400</v>
      </c>
      <c r="AP129" s="116">
        <v>29390</v>
      </c>
      <c r="AQ129" s="116">
        <v>29390</v>
      </c>
      <c r="AR129" s="116">
        <v>29390</v>
      </c>
      <c r="AS129" s="116">
        <v>29390</v>
      </c>
      <c r="AT129" s="116">
        <v>29400</v>
      </c>
      <c r="AU129" s="116">
        <v>29410</v>
      </c>
      <c r="AV129" s="116">
        <v>29420</v>
      </c>
      <c r="AW129" s="116">
        <v>29420</v>
      </c>
      <c r="AX129" s="116">
        <v>29420</v>
      </c>
      <c r="AY129" s="116">
        <v>29400</v>
      </c>
      <c r="AZ129" s="116">
        <v>29360</v>
      </c>
      <c r="BA129" s="116">
        <v>29320</v>
      </c>
      <c r="BB129" s="116">
        <v>29270</v>
      </c>
      <c r="BC129" s="116">
        <v>29240</v>
      </c>
      <c r="BD129" s="116">
        <v>29220</v>
      </c>
      <c r="BE129" s="116">
        <v>29230</v>
      </c>
      <c r="BF129" s="116">
        <v>29250</v>
      </c>
    </row>
    <row r="130" spans="1:58" ht="12.75">
      <c r="A130" s="118" t="s">
        <v>336</v>
      </c>
      <c r="B130" s="11"/>
      <c r="C130" s="116">
        <v>26790</v>
      </c>
      <c r="D130" s="116">
        <v>27070</v>
      </c>
      <c r="E130" s="116">
        <v>27470</v>
      </c>
      <c r="F130" s="116">
        <v>28070</v>
      </c>
      <c r="G130" s="116">
        <v>28770</v>
      </c>
      <c r="H130" s="116">
        <v>28700</v>
      </c>
      <c r="I130" s="116">
        <v>28710</v>
      </c>
      <c r="J130" s="116">
        <v>28530</v>
      </c>
      <c r="K130" s="116">
        <v>27850</v>
      </c>
      <c r="L130" s="116">
        <v>29080</v>
      </c>
      <c r="M130" s="116">
        <v>29980</v>
      </c>
      <c r="N130" s="116">
        <v>31320</v>
      </c>
      <c r="O130" s="116">
        <v>31590</v>
      </c>
      <c r="P130" s="116">
        <v>30700</v>
      </c>
      <c r="Q130" s="116">
        <v>30620</v>
      </c>
      <c r="R130" s="116">
        <v>29960</v>
      </c>
      <c r="S130" s="116">
        <v>30030</v>
      </c>
      <c r="T130" s="116">
        <v>29400</v>
      </c>
      <c r="U130" s="116">
        <v>29000</v>
      </c>
      <c r="V130" s="116">
        <v>28930</v>
      </c>
      <c r="W130" s="116">
        <v>28380</v>
      </c>
      <c r="X130" s="116">
        <v>29400</v>
      </c>
      <c r="Y130" s="116">
        <v>28930</v>
      </c>
      <c r="Z130" s="116">
        <v>28050</v>
      </c>
      <c r="AA130" s="116">
        <v>28030</v>
      </c>
      <c r="AB130" s="116">
        <v>28960</v>
      </c>
      <c r="AC130" s="116">
        <v>28850</v>
      </c>
      <c r="AD130" s="116">
        <v>29800</v>
      </c>
      <c r="AE130" s="116">
        <v>30890</v>
      </c>
      <c r="AF130" s="116">
        <v>31020</v>
      </c>
      <c r="AG130" s="116">
        <v>30880</v>
      </c>
      <c r="AH130" s="116">
        <v>30600</v>
      </c>
      <c r="AI130" s="116">
        <v>30360</v>
      </c>
      <c r="AJ130" s="116">
        <v>30160</v>
      </c>
      <c r="AK130" s="116">
        <v>30000</v>
      </c>
      <c r="AL130" s="116">
        <v>29870</v>
      </c>
      <c r="AM130" s="116">
        <v>29790</v>
      </c>
      <c r="AN130" s="116">
        <v>29730</v>
      </c>
      <c r="AO130" s="116">
        <v>29690</v>
      </c>
      <c r="AP130" s="116">
        <v>29670</v>
      </c>
      <c r="AQ130" s="116">
        <v>29660</v>
      </c>
      <c r="AR130" s="116">
        <v>29660</v>
      </c>
      <c r="AS130" s="116">
        <v>29660</v>
      </c>
      <c r="AT130" s="116">
        <v>29660</v>
      </c>
      <c r="AU130" s="116">
        <v>29670</v>
      </c>
      <c r="AV130" s="116">
        <v>29680</v>
      </c>
      <c r="AW130" s="116">
        <v>29690</v>
      </c>
      <c r="AX130" s="116">
        <v>29690</v>
      </c>
      <c r="AY130" s="116">
        <v>29690</v>
      </c>
      <c r="AZ130" s="116">
        <v>29670</v>
      </c>
      <c r="BA130" s="116">
        <v>29630</v>
      </c>
      <c r="BB130" s="116">
        <v>29590</v>
      </c>
      <c r="BC130" s="116">
        <v>29540</v>
      </c>
      <c r="BD130" s="116">
        <v>29510</v>
      </c>
      <c r="BE130" s="116">
        <v>29490</v>
      </c>
      <c r="BF130" s="116">
        <v>29500</v>
      </c>
    </row>
    <row r="131" spans="1:58" ht="12.75">
      <c r="A131" s="118" t="s">
        <v>337</v>
      </c>
      <c r="B131" s="11"/>
      <c r="C131" s="116">
        <v>26050</v>
      </c>
      <c r="D131" s="116">
        <v>27150</v>
      </c>
      <c r="E131" s="116">
        <v>27370</v>
      </c>
      <c r="F131" s="116">
        <v>27810</v>
      </c>
      <c r="G131" s="116">
        <v>28420</v>
      </c>
      <c r="H131" s="116">
        <v>29120</v>
      </c>
      <c r="I131" s="116">
        <v>29050</v>
      </c>
      <c r="J131" s="116">
        <v>29060</v>
      </c>
      <c r="K131" s="116">
        <v>28880</v>
      </c>
      <c r="L131" s="116">
        <v>28210</v>
      </c>
      <c r="M131" s="116">
        <v>29430</v>
      </c>
      <c r="N131" s="116">
        <v>30330</v>
      </c>
      <c r="O131" s="116">
        <v>31670</v>
      </c>
      <c r="P131" s="116">
        <v>31940</v>
      </c>
      <c r="Q131" s="116">
        <v>31060</v>
      </c>
      <c r="R131" s="116">
        <v>30970</v>
      </c>
      <c r="S131" s="116">
        <v>30320</v>
      </c>
      <c r="T131" s="116">
        <v>30380</v>
      </c>
      <c r="U131" s="116">
        <v>29750</v>
      </c>
      <c r="V131" s="116">
        <v>29350</v>
      </c>
      <c r="W131" s="116">
        <v>29290</v>
      </c>
      <c r="X131" s="116">
        <v>28730</v>
      </c>
      <c r="Y131" s="116">
        <v>29750</v>
      </c>
      <c r="Z131" s="116">
        <v>29290</v>
      </c>
      <c r="AA131" s="116">
        <v>28410</v>
      </c>
      <c r="AB131" s="116">
        <v>28390</v>
      </c>
      <c r="AC131" s="116">
        <v>29320</v>
      </c>
      <c r="AD131" s="116">
        <v>29200</v>
      </c>
      <c r="AE131" s="116">
        <v>30150</v>
      </c>
      <c r="AF131" s="116">
        <v>31240</v>
      </c>
      <c r="AG131" s="116">
        <v>31380</v>
      </c>
      <c r="AH131" s="116">
        <v>31240</v>
      </c>
      <c r="AI131" s="116">
        <v>30950</v>
      </c>
      <c r="AJ131" s="116">
        <v>30710</v>
      </c>
      <c r="AK131" s="116">
        <v>30510</v>
      </c>
      <c r="AL131" s="116">
        <v>30350</v>
      </c>
      <c r="AM131" s="116">
        <v>30230</v>
      </c>
      <c r="AN131" s="116">
        <v>30140</v>
      </c>
      <c r="AO131" s="116">
        <v>30080</v>
      </c>
      <c r="AP131" s="116">
        <v>30050</v>
      </c>
      <c r="AQ131" s="116">
        <v>30030</v>
      </c>
      <c r="AR131" s="116">
        <v>30020</v>
      </c>
      <c r="AS131" s="116">
        <v>30010</v>
      </c>
      <c r="AT131" s="116">
        <v>30010</v>
      </c>
      <c r="AU131" s="116">
        <v>30020</v>
      </c>
      <c r="AV131" s="116">
        <v>30020</v>
      </c>
      <c r="AW131" s="116">
        <v>30030</v>
      </c>
      <c r="AX131" s="116">
        <v>30040</v>
      </c>
      <c r="AY131" s="116">
        <v>30050</v>
      </c>
      <c r="AZ131" s="116">
        <v>30050</v>
      </c>
      <c r="BA131" s="116">
        <v>30030</v>
      </c>
      <c r="BB131" s="116">
        <v>29990</v>
      </c>
      <c r="BC131" s="116">
        <v>29940</v>
      </c>
      <c r="BD131" s="116">
        <v>29900</v>
      </c>
      <c r="BE131" s="116">
        <v>29870</v>
      </c>
      <c r="BF131" s="116">
        <v>29850</v>
      </c>
    </row>
    <row r="132" spans="1:58" ht="12.75">
      <c r="A132" s="118" t="s">
        <v>338</v>
      </c>
      <c r="B132" s="11"/>
      <c r="C132" s="116">
        <v>26810</v>
      </c>
      <c r="D132" s="116">
        <v>26460</v>
      </c>
      <c r="E132" s="116">
        <v>27500</v>
      </c>
      <c r="F132" s="116">
        <v>27760</v>
      </c>
      <c r="G132" s="116">
        <v>28220</v>
      </c>
      <c r="H132" s="116">
        <v>28830</v>
      </c>
      <c r="I132" s="116">
        <v>29530</v>
      </c>
      <c r="J132" s="116">
        <v>29460</v>
      </c>
      <c r="K132" s="116">
        <v>29480</v>
      </c>
      <c r="L132" s="116">
        <v>29290</v>
      </c>
      <c r="M132" s="116">
        <v>28620</v>
      </c>
      <c r="N132" s="116">
        <v>29840</v>
      </c>
      <c r="O132" s="116">
        <v>30750</v>
      </c>
      <c r="P132" s="116">
        <v>32080</v>
      </c>
      <c r="Q132" s="116">
        <v>32360</v>
      </c>
      <c r="R132" s="116">
        <v>31470</v>
      </c>
      <c r="S132" s="116">
        <v>31390</v>
      </c>
      <c r="T132" s="116">
        <v>30730</v>
      </c>
      <c r="U132" s="116">
        <v>30790</v>
      </c>
      <c r="V132" s="116">
        <v>30170</v>
      </c>
      <c r="W132" s="116">
        <v>29760</v>
      </c>
      <c r="X132" s="116">
        <v>29700</v>
      </c>
      <c r="Y132" s="116">
        <v>29150</v>
      </c>
      <c r="Z132" s="116">
        <v>30160</v>
      </c>
      <c r="AA132" s="116">
        <v>29700</v>
      </c>
      <c r="AB132" s="116">
        <v>28820</v>
      </c>
      <c r="AC132" s="116">
        <v>28800</v>
      </c>
      <c r="AD132" s="116">
        <v>29730</v>
      </c>
      <c r="AE132" s="116">
        <v>29620</v>
      </c>
      <c r="AF132" s="116">
        <v>30570</v>
      </c>
      <c r="AG132" s="116">
        <v>31660</v>
      </c>
      <c r="AH132" s="116">
        <v>31790</v>
      </c>
      <c r="AI132" s="116">
        <v>31650</v>
      </c>
      <c r="AJ132" s="116">
        <v>31370</v>
      </c>
      <c r="AK132" s="116">
        <v>31130</v>
      </c>
      <c r="AL132" s="116">
        <v>30930</v>
      </c>
      <c r="AM132" s="116">
        <v>30770</v>
      </c>
      <c r="AN132" s="116">
        <v>30640</v>
      </c>
      <c r="AO132" s="116">
        <v>30560</v>
      </c>
      <c r="AP132" s="116">
        <v>30500</v>
      </c>
      <c r="AQ132" s="116">
        <v>30460</v>
      </c>
      <c r="AR132" s="116">
        <v>30440</v>
      </c>
      <c r="AS132" s="116">
        <v>30430</v>
      </c>
      <c r="AT132" s="116">
        <v>30430</v>
      </c>
      <c r="AU132" s="116">
        <v>30430</v>
      </c>
      <c r="AV132" s="116">
        <v>30430</v>
      </c>
      <c r="AW132" s="116">
        <v>30440</v>
      </c>
      <c r="AX132" s="116">
        <v>30450</v>
      </c>
      <c r="AY132" s="116">
        <v>30460</v>
      </c>
      <c r="AZ132" s="116">
        <v>30460</v>
      </c>
      <c r="BA132" s="116">
        <v>30460</v>
      </c>
      <c r="BB132" s="116">
        <v>30440</v>
      </c>
      <c r="BC132" s="116">
        <v>30400</v>
      </c>
      <c r="BD132" s="116">
        <v>30360</v>
      </c>
      <c r="BE132" s="116">
        <v>30310</v>
      </c>
      <c r="BF132" s="116">
        <v>30280</v>
      </c>
    </row>
    <row r="133" spans="1:58" ht="12.75">
      <c r="A133" s="118" t="s">
        <v>339</v>
      </c>
      <c r="B133" s="11"/>
      <c r="C133" s="116">
        <v>27080</v>
      </c>
      <c r="D133" s="116">
        <v>27250</v>
      </c>
      <c r="E133" s="116">
        <v>26840</v>
      </c>
      <c r="F133" s="116">
        <v>27920</v>
      </c>
      <c r="G133" s="116">
        <v>28200</v>
      </c>
      <c r="H133" s="116">
        <v>28660</v>
      </c>
      <c r="I133" s="116">
        <v>29270</v>
      </c>
      <c r="J133" s="116">
        <v>29970</v>
      </c>
      <c r="K133" s="116">
        <v>29900</v>
      </c>
      <c r="L133" s="116">
        <v>29920</v>
      </c>
      <c r="M133" s="116">
        <v>29740</v>
      </c>
      <c r="N133" s="116">
        <v>29060</v>
      </c>
      <c r="O133" s="116">
        <v>30280</v>
      </c>
      <c r="P133" s="116">
        <v>31190</v>
      </c>
      <c r="Q133" s="116">
        <v>32520</v>
      </c>
      <c r="R133" s="116">
        <v>32800</v>
      </c>
      <c r="S133" s="116">
        <v>31910</v>
      </c>
      <c r="T133" s="116">
        <v>31830</v>
      </c>
      <c r="U133" s="116">
        <v>31170</v>
      </c>
      <c r="V133" s="116">
        <v>31240</v>
      </c>
      <c r="W133" s="116">
        <v>30610</v>
      </c>
      <c r="X133" s="116">
        <v>30210</v>
      </c>
      <c r="Y133" s="116">
        <v>30140</v>
      </c>
      <c r="Z133" s="116">
        <v>29590</v>
      </c>
      <c r="AA133" s="116">
        <v>30610</v>
      </c>
      <c r="AB133" s="116">
        <v>30140</v>
      </c>
      <c r="AC133" s="116">
        <v>29260</v>
      </c>
      <c r="AD133" s="116">
        <v>29240</v>
      </c>
      <c r="AE133" s="116">
        <v>30180</v>
      </c>
      <c r="AF133" s="116">
        <v>30060</v>
      </c>
      <c r="AG133" s="116">
        <v>31010</v>
      </c>
      <c r="AH133" s="116">
        <v>32100</v>
      </c>
      <c r="AI133" s="116">
        <v>32240</v>
      </c>
      <c r="AJ133" s="116">
        <v>32100</v>
      </c>
      <c r="AK133" s="116">
        <v>31810</v>
      </c>
      <c r="AL133" s="116">
        <v>31570</v>
      </c>
      <c r="AM133" s="116">
        <v>31370</v>
      </c>
      <c r="AN133" s="116">
        <v>31210</v>
      </c>
      <c r="AO133" s="116">
        <v>31090</v>
      </c>
      <c r="AP133" s="116">
        <v>31000</v>
      </c>
      <c r="AQ133" s="116">
        <v>30940</v>
      </c>
      <c r="AR133" s="116">
        <v>30910</v>
      </c>
      <c r="AS133" s="116">
        <v>30890</v>
      </c>
      <c r="AT133" s="116">
        <v>30880</v>
      </c>
      <c r="AU133" s="116">
        <v>30870</v>
      </c>
      <c r="AV133" s="116">
        <v>30870</v>
      </c>
      <c r="AW133" s="116">
        <v>30880</v>
      </c>
      <c r="AX133" s="116">
        <v>30880</v>
      </c>
      <c r="AY133" s="116">
        <v>30890</v>
      </c>
      <c r="AZ133" s="116">
        <v>30900</v>
      </c>
      <c r="BA133" s="116">
        <v>30910</v>
      </c>
      <c r="BB133" s="116">
        <v>30910</v>
      </c>
      <c r="BC133" s="116">
        <v>30890</v>
      </c>
      <c r="BD133" s="116">
        <v>30850</v>
      </c>
      <c r="BE133" s="116">
        <v>30800</v>
      </c>
      <c r="BF133" s="116">
        <v>30760</v>
      </c>
    </row>
    <row r="134" spans="1:58" ht="12.75">
      <c r="A134" s="118" t="s">
        <v>340</v>
      </c>
      <c r="B134" s="11"/>
      <c r="C134" s="116">
        <v>28670</v>
      </c>
      <c r="D134" s="116">
        <v>27490</v>
      </c>
      <c r="E134" s="116">
        <v>27610</v>
      </c>
      <c r="F134" s="116">
        <v>27240</v>
      </c>
      <c r="G134" s="116">
        <v>28330</v>
      </c>
      <c r="H134" s="116">
        <v>28610</v>
      </c>
      <c r="I134" s="116">
        <v>29070</v>
      </c>
      <c r="J134" s="116">
        <v>29680</v>
      </c>
      <c r="K134" s="116">
        <v>30380</v>
      </c>
      <c r="L134" s="116">
        <v>30310</v>
      </c>
      <c r="M134" s="116">
        <v>30330</v>
      </c>
      <c r="N134" s="116">
        <v>30150</v>
      </c>
      <c r="O134" s="116">
        <v>29470</v>
      </c>
      <c r="P134" s="116">
        <v>30690</v>
      </c>
      <c r="Q134" s="116">
        <v>31600</v>
      </c>
      <c r="R134" s="116">
        <v>32930</v>
      </c>
      <c r="S134" s="116">
        <v>33210</v>
      </c>
      <c r="T134" s="116">
        <v>32320</v>
      </c>
      <c r="U134" s="116">
        <v>32240</v>
      </c>
      <c r="V134" s="116">
        <v>31580</v>
      </c>
      <c r="W134" s="116">
        <v>31650</v>
      </c>
      <c r="X134" s="116">
        <v>31020</v>
      </c>
      <c r="Y134" s="116">
        <v>30620</v>
      </c>
      <c r="Z134" s="116">
        <v>30560</v>
      </c>
      <c r="AA134" s="116">
        <v>30000</v>
      </c>
      <c r="AB134" s="116">
        <v>31020</v>
      </c>
      <c r="AC134" s="116">
        <v>30560</v>
      </c>
      <c r="AD134" s="116">
        <v>29680</v>
      </c>
      <c r="AE134" s="116">
        <v>29660</v>
      </c>
      <c r="AF134" s="116">
        <v>30590</v>
      </c>
      <c r="AG134" s="116">
        <v>30470</v>
      </c>
      <c r="AH134" s="116">
        <v>31420</v>
      </c>
      <c r="AI134" s="116">
        <v>32510</v>
      </c>
      <c r="AJ134" s="116">
        <v>32650</v>
      </c>
      <c r="AK134" s="116">
        <v>32510</v>
      </c>
      <c r="AL134" s="116">
        <v>32220</v>
      </c>
      <c r="AM134" s="116">
        <v>31980</v>
      </c>
      <c r="AN134" s="116">
        <v>31780</v>
      </c>
      <c r="AO134" s="116">
        <v>31620</v>
      </c>
      <c r="AP134" s="116">
        <v>31500</v>
      </c>
      <c r="AQ134" s="116">
        <v>31410</v>
      </c>
      <c r="AR134" s="116">
        <v>31350</v>
      </c>
      <c r="AS134" s="116">
        <v>31320</v>
      </c>
      <c r="AT134" s="116">
        <v>31300</v>
      </c>
      <c r="AU134" s="116">
        <v>31290</v>
      </c>
      <c r="AV134" s="116">
        <v>31290</v>
      </c>
      <c r="AW134" s="116">
        <v>31290</v>
      </c>
      <c r="AX134" s="116">
        <v>31290</v>
      </c>
      <c r="AY134" s="116">
        <v>31300</v>
      </c>
      <c r="AZ134" s="116">
        <v>31310</v>
      </c>
      <c r="BA134" s="116">
        <v>31320</v>
      </c>
      <c r="BB134" s="116">
        <v>31320</v>
      </c>
      <c r="BC134" s="116">
        <v>31320</v>
      </c>
      <c r="BD134" s="116">
        <v>31300</v>
      </c>
      <c r="BE134" s="116">
        <v>31260</v>
      </c>
      <c r="BF134" s="116">
        <v>31220</v>
      </c>
    </row>
    <row r="135" spans="1:58" ht="12.75">
      <c r="A135" s="118" t="s">
        <v>341</v>
      </c>
      <c r="B135" s="11"/>
      <c r="C135" s="116">
        <v>29960</v>
      </c>
      <c r="D135" s="116">
        <v>29000</v>
      </c>
      <c r="E135" s="116">
        <v>27790</v>
      </c>
      <c r="F135" s="116">
        <v>27930</v>
      </c>
      <c r="G135" s="116">
        <v>27570</v>
      </c>
      <c r="H135" s="116">
        <v>28660</v>
      </c>
      <c r="I135" s="116">
        <v>28940</v>
      </c>
      <c r="J135" s="116">
        <v>29400</v>
      </c>
      <c r="K135" s="116">
        <v>30020</v>
      </c>
      <c r="L135" s="116">
        <v>30710</v>
      </c>
      <c r="M135" s="116">
        <v>30650</v>
      </c>
      <c r="N135" s="116">
        <v>30660</v>
      </c>
      <c r="O135" s="116">
        <v>30480</v>
      </c>
      <c r="P135" s="116">
        <v>29810</v>
      </c>
      <c r="Q135" s="116">
        <v>31030</v>
      </c>
      <c r="R135" s="116">
        <v>31930</v>
      </c>
      <c r="S135" s="116">
        <v>33270</v>
      </c>
      <c r="T135" s="116">
        <v>33540</v>
      </c>
      <c r="U135" s="116">
        <v>32660</v>
      </c>
      <c r="V135" s="116">
        <v>32570</v>
      </c>
      <c r="W135" s="116">
        <v>31920</v>
      </c>
      <c r="X135" s="116">
        <v>31980</v>
      </c>
      <c r="Y135" s="116">
        <v>31350</v>
      </c>
      <c r="Z135" s="116">
        <v>30950</v>
      </c>
      <c r="AA135" s="116">
        <v>30890</v>
      </c>
      <c r="AB135" s="116">
        <v>30340</v>
      </c>
      <c r="AC135" s="116">
        <v>31360</v>
      </c>
      <c r="AD135" s="116">
        <v>30890</v>
      </c>
      <c r="AE135" s="116">
        <v>30010</v>
      </c>
      <c r="AF135" s="116">
        <v>29990</v>
      </c>
      <c r="AG135" s="116">
        <v>30930</v>
      </c>
      <c r="AH135" s="116">
        <v>30810</v>
      </c>
      <c r="AI135" s="116">
        <v>31760</v>
      </c>
      <c r="AJ135" s="116">
        <v>32850</v>
      </c>
      <c r="AK135" s="116">
        <v>32980</v>
      </c>
      <c r="AL135" s="116">
        <v>32850</v>
      </c>
      <c r="AM135" s="116">
        <v>32560</v>
      </c>
      <c r="AN135" s="116">
        <v>32320</v>
      </c>
      <c r="AO135" s="116">
        <v>32120</v>
      </c>
      <c r="AP135" s="116">
        <v>31960</v>
      </c>
      <c r="AQ135" s="116">
        <v>31840</v>
      </c>
      <c r="AR135" s="116">
        <v>31750</v>
      </c>
      <c r="AS135" s="116">
        <v>31690</v>
      </c>
      <c r="AT135" s="116">
        <v>31660</v>
      </c>
      <c r="AU135" s="116">
        <v>31640</v>
      </c>
      <c r="AV135" s="116">
        <v>31630</v>
      </c>
      <c r="AW135" s="116">
        <v>31620</v>
      </c>
      <c r="AX135" s="116">
        <v>31620</v>
      </c>
      <c r="AY135" s="116">
        <v>31630</v>
      </c>
      <c r="AZ135" s="116">
        <v>31640</v>
      </c>
      <c r="BA135" s="116">
        <v>31640</v>
      </c>
      <c r="BB135" s="116">
        <v>31650</v>
      </c>
      <c r="BC135" s="116">
        <v>31660</v>
      </c>
      <c r="BD135" s="116">
        <v>31660</v>
      </c>
      <c r="BE135" s="116">
        <v>31640</v>
      </c>
      <c r="BF135" s="116">
        <v>31600</v>
      </c>
    </row>
    <row r="136" spans="1:58" ht="12.75">
      <c r="A136" s="118" t="s">
        <v>342</v>
      </c>
      <c r="B136" s="11"/>
      <c r="C136" s="116">
        <v>31240</v>
      </c>
      <c r="D136" s="116">
        <v>30220</v>
      </c>
      <c r="E136" s="116">
        <v>29240</v>
      </c>
      <c r="F136" s="116">
        <v>28040</v>
      </c>
      <c r="G136" s="116">
        <v>28200</v>
      </c>
      <c r="H136" s="116">
        <v>27830</v>
      </c>
      <c r="I136" s="116">
        <v>28920</v>
      </c>
      <c r="J136" s="116">
        <v>29210</v>
      </c>
      <c r="K136" s="116">
        <v>29660</v>
      </c>
      <c r="L136" s="116">
        <v>30280</v>
      </c>
      <c r="M136" s="116">
        <v>30980</v>
      </c>
      <c r="N136" s="116">
        <v>30910</v>
      </c>
      <c r="O136" s="116">
        <v>30920</v>
      </c>
      <c r="P136" s="116">
        <v>30740</v>
      </c>
      <c r="Q136" s="116">
        <v>30070</v>
      </c>
      <c r="R136" s="116">
        <v>31290</v>
      </c>
      <c r="S136" s="116">
        <v>32200</v>
      </c>
      <c r="T136" s="116">
        <v>33530</v>
      </c>
      <c r="U136" s="116">
        <v>33800</v>
      </c>
      <c r="V136" s="116">
        <v>32920</v>
      </c>
      <c r="W136" s="116">
        <v>32840</v>
      </c>
      <c r="X136" s="116">
        <v>32180</v>
      </c>
      <c r="Y136" s="116">
        <v>32250</v>
      </c>
      <c r="Z136" s="116">
        <v>31620</v>
      </c>
      <c r="AA136" s="116">
        <v>31220</v>
      </c>
      <c r="AB136" s="116">
        <v>31160</v>
      </c>
      <c r="AC136" s="116">
        <v>30610</v>
      </c>
      <c r="AD136" s="116">
        <v>31620</v>
      </c>
      <c r="AE136" s="116">
        <v>31160</v>
      </c>
      <c r="AF136" s="116">
        <v>30280</v>
      </c>
      <c r="AG136" s="116">
        <v>30260</v>
      </c>
      <c r="AH136" s="116">
        <v>31190</v>
      </c>
      <c r="AI136" s="116">
        <v>31070</v>
      </c>
      <c r="AJ136" s="116">
        <v>32030</v>
      </c>
      <c r="AK136" s="116">
        <v>33120</v>
      </c>
      <c r="AL136" s="116">
        <v>33250</v>
      </c>
      <c r="AM136" s="116">
        <v>33110</v>
      </c>
      <c r="AN136" s="116">
        <v>32820</v>
      </c>
      <c r="AO136" s="116">
        <v>32590</v>
      </c>
      <c r="AP136" s="116">
        <v>32390</v>
      </c>
      <c r="AQ136" s="116">
        <v>32230</v>
      </c>
      <c r="AR136" s="116">
        <v>32100</v>
      </c>
      <c r="AS136" s="116">
        <v>32020</v>
      </c>
      <c r="AT136" s="116">
        <v>31960</v>
      </c>
      <c r="AU136" s="116">
        <v>31920</v>
      </c>
      <c r="AV136" s="116">
        <v>31900</v>
      </c>
      <c r="AW136" s="116">
        <v>31900</v>
      </c>
      <c r="AX136" s="116">
        <v>31890</v>
      </c>
      <c r="AY136" s="116">
        <v>31890</v>
      </c>
      <c r="AZ136" s="116">
        <v>31890</v>
      </c>
      <c r="BA136" s="116">
        <v>31900</v>
      </c>
      <c r="BB136" s="116">
        <v>31910</v>
      </c>
      <c r="BC136" s="116">
        <v>31920</v>
      </c>
      <c r="BD136" s="116">
        <v>31920</v>
      </c>
      <c r="BE136" s="116">
        <v>31920</v>
      </c>
      <c r="BF136" s="116">
        <v>31900</v>
      </c>
    </row>
    <row r="137" spans="1:58" ht="12.75">
      <c r="A137" s="118" t="s">
        <v>343</v>
      </c>
      <c r="B137" s="11"/>
      <c r="C137" s="116">
        <v>32740</v>
      </c>
      <c r="D137" s="116">
        <v>31460</v>
      </c>
      <c r="E137" s="116">
        <v>30420</v>
      </c>
      <c r="F137" s="116">
        <v>29450</v>
      </c>
      <c r="G137" s="116">
        <v>28260</v>
      </c>
      <c r="H137" s="116">
        <v>28410</v>
      </c>
      <c r="I137" s="116">
        <v>28050</v>
      </c>
      <c r="J137" s="116">
        <v>29140</v>
      </c>
      <c r="K137" s="116">
        <v>29420</v>
      </c>
      <c r="L137" s="116">
        <v>29880</v>
      </c>
      <c r="M137" s="116">
        <v>30500</v>
      </c>
      <c r="N137" s="116">
        <v>31190</v>
      </c>
      <c r="O137" s="116">
        <v>31130</v>
      </c>
      <c r="P137" s="116">
        <v>31140</v>
      </c>
      <c r="Q137" s="116">
        <v>30960</v>
      </c>
      <c r="R137" s="116">
        <v>30290</v>
      </c>
      <c r="S137" s="116">
        <v>31510</v>
      </c>
      <c r="T137" s="116">
        <v>32410</v>
      </c>
      <c r="U137" s="116">
        <v>33750</v>
      </c>
      <c r="V137" s="116">
        <v>34020</v>
      </c>
      <c r="W137" s="116">
        <v>33140</v>
      </c>
      <c r="X137" s="116">
        <v>33060</v>
      </c>
      <c r="Y137" s="116">
        <v>32400</v>
      </c>
      <c r="Z137" s="116">
        <v>32460</v>
      </c>
      <c r="AA137" s="116">
        <v>31840</v>
      </c>
      <c r="AB137" s="116">
        <v>31440</v>
      </c>
      <c r="AC137" s="116">
        <v>31380</v>
      </c>
      <c r="AD137" s="116">
        <v>30830</v>
      </c>
      <c r="AE137" s="116">
        <v>31840</v>
      </c>
      <c r="AF137" s="116">
        <v>31380</v>
      </c>
      <c r="AG137" s="116">
        <v>30500</v>
      </c>
      <c r="AH137" s="116">
        <v>30480</v>
      </c>
      <c r="AI137" s="116">
        <v>31410</v>
      </c>
      <c r="AJ137" s="116">
        <v>31290</v>
      </c>
      <c r="AK137" s="116">
        <v>32250</v>
      </c>
      <c r="AL137" s="116">
        <v>33340</v>
      </c>
      <c r="AM137" s="116">
        <v>33470</v>
      </c>
      <c r="AN137" s="116">
        <v>33330</v>
      </c>
      <c r="AO137" s="116">
        <v>33050</v>
      </c>
      <c r="AP137" s="116">
        <v>32810</v>
      </c>
      <c r="AQ137" s="116">
        <v>32610</v>
      </c>
      <c r="AR137" s="116">
        <v>32450</v>
      </c>
      <c r="AS137" s="116">
        <v>32330</v>
      </c>
      <c r="AT137" s="116">
        <v>32240</v>
      </c>
      <c r="AU137" s="116">
        <v>32180</v>
      </c>
      <c r="AV137" s="116">
        <v>32140</v>
      </c>
      <c r="AW137" s="116">
        <v>32130</v>
      </c>
      <c r="AX137" s="116">
        <v>32120</v>
      </c>
      <c r="AY137" s="116">
        <v>32110</v>
      </c>
      <c r="AZ137" s="116">
        <v>32110</v>
      </c>
      <c r="BA137" s="116">
        <v>32110</v>
      </c>
      <c r="BB137" s="116">
        <v>32120</v>
      </c>
      <c r="BC137" s="116">
        <v>32130</v>
      </c>
      <c r="BD137" s="116">
        <v>32140</v>
      </c>
      <c r="BE137" s="116">
        <v>32150</v>
      </c>
      <c r="BF137" s="116">
        <v>32150</v>
      </c>
    </row>
    <row r="138" spans="1:58" ht="12.75">
      <c r="A138" s="118" t="s">
        <v>344</v>
      </c>
      <c r="B138" s="11"/>
      <c r="C138" s="116">
        <v>33360</v>
      </c>
      <c r="D138" s="116">
        <v>32930</v>
      </c>
      <c r="E138" s="116">
        <v>31630</v>
      </c>
      <c r="F138" s="116">
        <v>30600</v>
      </c>
      <c r="G138" s="116">
        <v>29640</v>
      </c>
      <c r="H138" s="116">
        <v>28450</v>
      </c>
      <c r="I138" s="116">
        <v>28610</v>
      </c>
      <c r="J138" s="116">
        <v>28250</v>
      </c>
      <c r="K138" s="116">
        <v>29340</v>
      </c>
      <c r="L138" s="116">
        <v>29620</v>
      </c>
      <c r="M138" s="116">
        <v>30080</v>
      </c>
      <c r="N138" s="116">
        <v>30690</v>
      </c>
      <c r="O138" s="116">
        <v>31390</v>
      </c>
      <c r="P138" s="116">
        <v>31320</v>
      </c>
      <c r="Q138" s="116">
        <v>31340</v>
      </c>
      <c r="R138" s="116">
        <v>31160</v>
      </c>
      <c r="S138" s="116">
        <v>30490</v>
      </c>
      <c r="T138" s="116">
        <v>31710</v>
      </c>
      <c r="U138" s="116">
        <v>32610</v>
      </c>
      <c r="V138" s="116">
        <v>33940</v>
      </c>
      <c r="W138" s="116">
        <v>34220</v>
      </c>
      <c r="X138" s="116">
        <v>33330</v>
      </c>
      <c r="Y138" s="116">
        <v>33250</v>
      </c>
      <c r="Z138" s="116">
        <v>32600</v>
      </c>
      <c r="AA138" s="116">
        <v>32660</v>
      </c>
      <c r="AB138" s="116">
        <v>32040</v>
      </c>
      <c r="AC138" s="116">
        <v>31640</v>
      </c>
      <c r="AD138" s="116">
        <v>31570</v>
      </c>
      <c r="AE138" s="116">
        <v>31030</v>
      </c>
      <c r="AF138" s="116">
        <v>32040</v>
      </c>
      <c r="AG138" s="116">
        <v>31580</v>
      </c>
      <c r="AH138" s="116">
        <v>30700</v>
      </c>
      <c r="AI138" s="116">
        <v>30680</v>
      </c>
      <c r="AJ138" s="116">
        <v>31610</v>
      </c>
      <c r="AK138" s="116">
        <v>31490</v>
      </c>
      <c r="AL138" s="116">
        <v>32450</v>
      </c>
      <c r="AM138" s="116">
        <v>33530</v>
      </c>
      <c r="AN138" s="116">
        <v>33670</v>
      </c>
      <c r="AO138" s="116">
        <v>33530</v>
      </c>
      <c r="AP138" s="116">
        <v>33250</v>
      </c>
      <c r="AQ138" s="116">
        <v>33010</v>
      </c>
      <c r="AR138" s="116">
        <v>32810</v>
      </c>
      <c r="AS138" s="116">
        <v>32650</v>
      </c>
      <c r="AT138" s="116">
        <v>32530</v>
      </c>
      <c r="AU138" s="116">
        <v>32440</v>
      </c>
      <c r="AV138" s="116">
        <v>32380</v>
      </c>
      <c r="AW138" s="116">
        <v>32340</v>
      </c>
      <c r="AX138" s="116">
        <v>32330</v>
      </c>
      <c r="AY138" s="116">
        <v>32320</v>
      </c>
      <c r="AZ138" s="116">
        <v>32310</v>
      </c>
      <c r="BA138" s="116">
        <v>32310</v>
      </c>
      <c r="BB138" s="116">
        <v>32310</v>
      </c>
      <c r="BC138" s="116">
        <v>32320</v>
      </c>
      <c r="BD138" s="116">
        <v>32330</v>
      </c>
      <c r="BE138" s="116">
        <v>32340</v>
      </c>
      <c r="BF138" s="116">
        <v>32350</v>
      </c>
    </row>
    <row r="139" spans="1:58" ht="12.75">
      <c r="A139" s="118" t="s">
        <v>345</v>
      </c>
      <c r="B139" s="11"/>
      <c r="C139" s="116">
        <v>32520</v>
      </c>
      <c r="D139" s="116">
        <v>33530</v>
      </c>
      <c r="E139" s="116">
        <v>33080</v>
      </c>
      <c r="F139" s="116">
        <v>31800</v>
      </c>
      <c r="G139" s="116">
        <v>30780</v>
      </c>
      <c r="H139" s="116">
        <v>29820</v>
      </c>
      <c r="I139" s="116">
        <v>28630</v>
      </c>
      <c r="J139" s="116">
        <v>28780</v>
      </c>
      <c r="K139" s="116">
        <v>28420</v>
      </c>
      <c r="L139" s="116">
        <v>29510</v>
      </c>
      <c r="M139" s="116">
        <v>29800</v>
      </c>
      <c r="N139" s="116">
        <v>30250</v>
      </c>
      <c r="O139" s="116">
        <v>30870</v>
      </c>
      <c r="P139" s="116">
        <v>31560</v>
      </c>
      <c r="Q139" s="116">
        <v>31500</v>
      </c>
      <c r="R139" s="116">
        <v>31510</v>
      </c>
      <c r="S139" s="116">
        <v>31330</v>
      </c>
      <c r="T139" s="116">
        <v>30670</v>
      </c>
      <c r="U139" s="116">
        <v>31880</v>
      </c>
      <c r="V139" s="116">
        <v>32790</v>
      </c>
      <c r="W139" s="116">
        <v>34120</v>
      </c>
      <c r="X139" s="116">
        <v>34390</v>
      </c>
      <c r="Y139" s="116">
        <v>33510</v>
      </c>
      <c r="Z139" s="116">
        <v>33430</v>
      </c>
      <c r="AA139" s="116">
        <v>32780</v>
      </c>
      <c r="AB139" s="116">
        <v>32840</v>
      </c>
      <c r="AC139" s="116">
        <v>32220</v>
      </c>
      <c r="AD139" s="116">
        <v>31820</v>
      </c>
      <c r="AE139" s="116">
        <v>31750</v>
      </c>
      <c r="AF139" s="116">
        <v>31210</v>
      </c>
      <c r="AG139" s="116">
        <v>32220</v>
      </c>
      <c r="AH139" s="116">
        <v>31760</v>
      </c>
      <c r="AI139" s="116">
        <v>30880</v>
      </c>
      <c r="AJ139" s="116">
        <v>30860</v>
      </c>
      <c r="AK139" s="116">
        <v>31790</v>
      </c>
      <c r="AL139" s="116">
        <v>31680</v>
      </c>
      <c r="AM139" s="116">
        <v>32630</v>
      </c>
      <c r="AN139" s="116">
        <v>33710</v>
      </c>
      <c r="AO139" s="116">
        <v>33850</v>
      </c>
      <c r="AP139" s="116">
        <v>33710</v>
      </c>
      <c r="AQ139" s="116">
        <v>33430</v>
      </c>
      <c r="AR139" s="116">
        <v>33190</v>
      </c>
      <c r="AS139" s="116">
        <v>32990</v>
      </c>
      <c r="AT139" s="116">
        <v>32830</v>
      </c>
      <c r="AU139" s="116">
        <v>32710</v>
      </c>
      <c r="AV139" s="116">
        <v>32620</v>
      </c>
      <c r="AW139" s="116">
        <v>32560</v>
      </c>
      <c r="AX139" s="116">
        <v>32530</v>
      </c>
      <c r="AY139" s="116">
        <v>32510</v>
      </c>
      <c r="AZ139" s="116">
        <v>32500</v>
      </c>
      <c r="BA139" s="116">
        <v>32490</v>
      </c>
      <c r="BB139" s="116">
        <v>32490</v>
      </c>
      <c r="BC139" s="116">
        <v>32500</v>
      </c>
      <c r="BD139" s="116">
        <v>32500</v>
      </c>
      <c r="BE139" s="116">
        <v>32510</v>
      </c>
      <c r="BF139" s="116">
        <v>32520</v>
      </c>
    </row>
    <row r="140" spans="1:58" ht="12.75">
      <c r="A140" s="118" t="s">
        <v>346</v>
      </c>
      <c r="B140" s="11"/>
      <c r="C140" s="116">
        <v>32870</v>
      </c>
      <c r="D140" s="116">
        <v>32670</v>
      </c>
      <c r="E140" s="116">
        <v>33660</v>
      </c>
      <c r="F140" s="116">
        <v>33230</v>
      </c>
      <c r="G140" s="116">
        <v>31950</v>
      </c>
      <c r="H140" s="116">
        <v>30930</v>
      </c>
      <c r="I140" s="116">
        <v>29970</v>
      </c>
      <c r="J140" s="116">
        <v>28790</v>
      </c>
      <c r="K140" s="116">
        <v>28940</v>
      </c>
      <c r="L140" s="116">
        <v>28580</v>
      </c>
      <c r="M140" s="116">
        <v>29670</v>
      </c>
      <c r="N140" s="116">
        <v>29950</v>
      </c>
      <c r="O140" s="116">
        <v>30410</v>
      </c>
      <c r="P140" s="116">
        <v>31020</v>
      </c>
      <c r="Q140" s="116">
        <v>31720</v>
      </c>
      <c r="R140" s="116">
        <v>31660</v>
      </c>
      <c r="S140" s="116">
        <v>31670</v>
      </c>
      <c r="T140" s="116">
        <v>31490</v>
      </c>
      <c r="U140" s="116">
        <v>30820</v>
      </c>
      <c r="V140" s="116">
        <v>32040</v>
      </c>
      <c r="W140" s="116">
        <v>32940</v>
      </c>
      <c r="X140" s="116">
        <v>34280</v>
      </c>
      <c r="Y140" s="116">
        <v>34550</v>
      </c>
      <c r="Z140" s="116">
        <v>33670</v>
      </c>
      <c r="AA140" s="116">
        <v>33590</v>
      </c>
      <c r="AB140" s="116">
        <v>32930</v>
      </c>
      <c r="AC140" s="116">
        <v>33000</v>
      </c>
      <c r="AD140" s="116">
        <v>32370</v>
      </c>
      <c r="AE140" s="116">
        <v>31980</v>
      </c>
      <c r="AF140" s="116">
        <v>31910</v>
      </c>
      <c r="AG140" s="116">
        <v>31370</v>
      </c>
      <c r="AH140" s="116">
        <v>32380</v>
      </c>
      <c r="AI140" s="116">
        <v>31920</v>
      </c>
      <c r="AJ140" s="116">
        <v>31040</v>
      </c>
      <c r="AK140" s="116">
        <v>31020</v>
      </c>
      <c r="AL140" s="116">
        <v>31950</v>
      </c>
      <c r="AM140" s="116">
        <v>31840</v>
      </c>
      <c r="AN140" s="116">
        <v>32790</v>
      </c>
      <c r="AO140" s="116">
        <v>33870</v>
      </c>
      <c r="AP140" s="116">
        <v>34010</v>
      </c>
      <c r="AQ140" s="116">
        <v>33870</v>
      </c>
      <c r="AR140" s="116">
        <v>33590</v>
      </c>
      <c r="AS140" s="116">
        <v>33350</v>
      </c>
      <c r="AT140" s="116">
        <v>33150</v>
      </c>
      <c r="AU140" s="116">
        <v>32990</v>
      </c>
      <c r="AV140" s="116">
        <v>32870</v>
      </c>
      <c r="AW140" s="116">
        <v>32780</v>
      </c>
      <c r="AX140" s="116">
        <v>32720</v>
      </c>
      <c r="AY140" s="116">
        <v>32690</v>
      </c>
      <c r="AZ140" s="116">
        <v>32670</v>
      </c>
      <c r="BA140" s="116">
        <v>32660</v>
      </c>
      <c r="BB140" s="116">
        <v>32650</v>
      </c>
      <c r="BC140" s="116">
        <v>32650</v>
      </c>
      <c r="BD140" s="116">
        <v>32660</v>
      </c>
      <c r="BE140" s="116">
        <v>32670</v>
      </c>
      <c r="BF140" s="116">
        <v>32680</v>
      </c>
    </row>
    <row r="141" spans="1:58" ht="12.75">
      <c r="A141" s="118" t="s">
        <v>347</v>
      </c>
      <c r="B141" s="11"/>
      <c r="C141" s="116">
        <v>32450</v>
      </c>
      <c r="D141" s="116">
        <v>33000</v>
      </c>
      <c r="E141" s="116">
        <v>32780</v>
      </c>
      <c r="F141" s="116">
        <v>33780</v>
      </c>
      <c r="G141" s="116">
        <v>33360</v>
      </c>
      <c r="H141" s="116">
        <v>32080</v>
      </c>
      <c r="I141" s="116">
        <v>31060</v>
      </c>
      <c r="J141" s="116">
        <v>30100</v>
      </c>
      <c r="K141" s="116">
        <v>28920</v>
      </c>
      <c r="L141" s="116">
        <v>29070</v>
      </c>
      <c r="M141" s="116">
        <v>28710</v>
      </c>
      <c r="N141" s="116">
        <v>29800</v>
      </c>
      <c r="O141" s="116">
        <v>30090</v>
      </c>
      <c r="P141" s="116">
        <v>30540</v>
      </c>
      <c r="Q141" s="116">
        <v>31160</v>
      </c>
      <c r="R141" s="116">
        <v>31850</v>
      </c>
      <c r="S141" s="116">
        <v>31790</v>
      </c>
      <c r="T141" s="116">
        <v>31810</v>
      </c>
      <c r="U141" s="116">
        <v>31630</v>
      </c>
      <c r="V141" s="116">
        <v>30960</v>
      </c>
      <c r="W141" s="116">
        <v>32180</v>
      </c>
      <c r="X141" s="116">
        <v>33080</v>
      </c>
      <c r="Y141" s="116">
        <v>34410</v>
      </c>
      <c r="Z141" s="116">
        <v>34690</v>
      </c>
      <c r="AA141" s="116">
        <v>33810</v>
      </c>
      <c r="AB141" s="116">
        <v>33720</v>
      </c>
      <c r="AC141" s="116">
        <v>33070</v>
      </c>
      <c r="AD141" s="116">
        <v>33140</v>
      </c>
      <c r="AE141" s="116">
        <v>32510</v>
      </c>
      <c r="AF141" s="116">
        <v>32110</v>
      </c>
      <c r="AG141" s="116">
        <v>32050</v>
      </c>
      <c r="AH141" s="116">
        <v>31500</v>
      </c>
      <c r="AI141" s="116">
        <v>32520</v>
      </c>
      <c r="AJ141" s="116">
        <v>32060</v>
      </c>
      <c r="AK141" s="116">
        <v>31180</v>
      </c>
      <c r="AL141" s="116">
        <v>31160</v>
      </c>
      <c r="AM141" s="116">
        <v>32090</v>
      </c>
      <c r="AN141" s="116">
        <v>31970</v>
      </c>
      <c r="AO141" s="116">
        <v>32920</v>
      </c>
      <c r="AP141" s="116">
        <v>34010</v>
      </c>
      <c r="AQ141" s="116">
        <v>34150</v>
      </c>
      <c r="AR141" s="116">
        <v>34010</v>
      </c>
      <c r="AS141" s="116">
        <v>33720</v>
      </c>
      <c r="AT141" s="116">
        <v>33480</v>
      </c>
      <c r="AU141" s="116">
        <v>33290</v>
      </c>
      <c r="AV141" s="116">
        <v>33130</v>
      </c>
      <c r="AW141" s="116">
        <v>33010</v>
      </c>
      <c r="AX141" s="116">
        <v>32920</v>
      </c>
      <c r="AY141" s="116">
        <v>32860</v>
      </c>
      <c r="AZ141" s="116">
        <v>32830</v>
      </c>
      <c r="BA141" s="116">
        <v>32810</v>
      </c>
      <c r="BB141" s="116">
        <v>32800</v>
      </c>
      <c r="BC141" s="116">
        <v>32790</v>
      </c>
      <c r="BD141" s="116">
        <v>32790</v>
      </c>
      <c r="BE141" s="116">
        <v>32800</v>
      </c>
      <c r="BF141" s="116">
        <v>32810</v>
      </c>
    </row>
    <row r="142" spans="1:58" ht="12.75">
      <c r="A142" s="118" t="s">
        <v>348</v>
      </c>
      <c r="B142" s="11"/>
      <c r="C142" s="116">
        <v>32220</v>
      </c>
      <c r="D142" s="116">
        <v>32560</v>
      </c>
      <c r="E142" s="116">
        <v>33090</v>
      </c>
      <c r="F142" s="116">
        <v>32880</v>
      </c>
      <c r="G142" s="116">
        <v>33890</v>
      </c>
      <c r="H142" s="116">
        <v>33470</v>
      </c>
      <c r="I142" s="116">
        <v>32190</v>
      </c>
      <c r="J142" s="116">
        <v>31170</v>
      </c>
      <c r="K142" s="116">
        <v>30220</v>
      </c>
      <c r="L142" s="116">
        <v>29040</v>
      </c>
      <c r="M142" s="116">
        <v>29190</v>
      </c>
      <c r="N142" s="116">
        <v>28830</v>
      </c>
      <c r="O142" s="116">
        <v>29920</v>
      </c>
      <c r="P142" s="116">
        <v>30200</v>
      </c>
      <c r="Q142" s="116">
        <v>30660</v>
      </c>
      <c r="R142" s="116">
        <v>31280</v>
      </c>
      <c r="S142" s="116">
        <v>31970</v>
      </c>
      <c r="T142" s="116">
        <v>31910</v>
      </c>
      <c r="U142" s="116">
        <v>31920</v>
      </c>
      <c r="V142" s="116">
        <v>31740</v>
      </c>
      <c r="W142" s="116">
        <v>31080</v>
      </c>
      <c r="X142" s="116">
        <v>32290</v>
      </c>
      <c r="Y142" s="116">
        <v>33200</v>
      </c>
      <c r="Z142" s="116">
        <v>34530</v>
      </c>
      <c r="AA142" s="116">
        <v>34800</v>
      </c>
      <c r="AB142" s="116">
        <v>33920</v>
      </c>
      <c r="AC142" s="116">
        <v>33840</v>
      </c>
      <c r="AD142" s="116">
        <v>33190</v>
      </c>
      <c r="AE142" s="116">
        <v>33260</v>
      </c>
      <c r="AF142" s="116">
        <v>32630</v>
      </c>
      <c r="AG142" s="116">
        <v>32230</v>
      </c>
      <c r="AH142" s="116">
        <v>32170</v>
      </c>
      <c r="AI142" s="116">
        <v>31620</v>
      </c>
      <c r="AJ142" s="116">
        <v>32640</v>
      </c>
      <c r="AK142" s="116">
        <v>32180</v>
      </c>
      <c r="AL142" s="116">
        <v>31300</v>
      </c>
      <c r="AM142" s="116">
        <v>31280</v>
      </c>
      <c r="AN142" s="116">
        <v>32210</v>
      </c>
      <c r="AO142" s="116">
        <v>32100</v>
      </c>
      <c r="AP142" s="116">
        <v>33050</v>
      </c>
      <c r="AQ142" s="116">
        <v>34130</v>
      </c>
      <c r="AR142" s="116">
        <v>34270</v>
      </c>
      <c r="AS142" s="116">
        <v>34130</v>
      </c>
      <c r="AT142" s="116">
        <v>33850</v>
      </c>
      <c r="AU142" s="116">
        <v>33610</v>
      </c>
      <c r="AV142" s="116">
        <v>33410</v>
      </c>
      <c r="AW142" s="116">
        <v>33250</v>
      </c>
      <c r="AX142" s="116">
        <v>33130</v>
      </c>
      <c r="AY142" s="116">
        <v>33040</v>
      </c>
      <c r="AZ142" s="116">
        <v>32980</v>
      </c>
      <c r="BA142" s="116">
        <v>32950</v>
      </c>
      <c r="BB142" s="116">
        <v>32930</v>
      </c>
      <c r="BC142" s="116">
        <v>32920</v>
      </c>
      <c r="BD142" s="116">
        <v>32920</v>
      </c>
      <c r="BE142" s="116">
        <v>32910</v>
      </c>
      <c r="BF142" s="116">
        <v>32920</v>
      </c>
    </row>
    <row r="143" spans="1:58" ht="12.75">
      <c r="A143" s="118" t="s">
        <v>349</v>
      </c>
      <c r="B143" s="11"/>
      <c r="C143" s="116">
        <v>32020</v>
      </c>
      <c r="D143" s="116">
        <v>32310</v>
      </c>
      <c r="E143" s="116">
        <v>32640</v>
      </c>
      <c r="F143" s="116">
        <v>33180</v>
      </c>
      <c r="G143" s="116">
        <v>32980</v>
      </c>
      <c r="H143" s="116">
        <v>33980</v>
      </c>
      <c r="I143" s="116">
        <v>33560</v>
      </c>
      <c r="J143" s="116">
        <v>32290</v>
      </c>
      <c r="K143" s="116">
        <v>31270</v>
      </c>
      <c r="L143" s="116">
        <v>30320</v>
      </c>
      <c r="M143" s="116">
        <v>29140</v>
      </c>
      <c r="N143" s="116">
        <v>29290</v>
      </c>
      <c r="O143" s="116">
        <v>28930</v>
      </c>
      <c r="P143" s="116">
        <v>30020</v>
      </c>
      <c r="Q143" s="116">
        <v>30300</v>
      </c>
      <c r="R143" s="116">
        <v>30760</v>
      </c>
      <c r="S143" s="116">
        <v>31380</v>
      </c>
      <c r="T143" s="116">
        <v>32070</v>
      </c>
      <c r="U143" s="116">
        <v>32010</v>
      </c>
      <c r="V143" s="116">
        <v>32020</v>
      </c>
      <c r="W143" s="116">
        <v>31850</v>
      </c>
      <c r="X143" s="116">
        <v>31180</v>
      </c>
      <c r="Y143" s="116">
        <v>32400</v>
      </c>
      <c r="Z143" s="116">
        <v>33300</v>
      </c>
      <c r="AA143" s="116">
        <v>34630</v>
      </c>
      <c r="AB143" s="116">
        <v>34900</v>
      </c>
      <c r="AC143" s="116">
        <v>34020</v>
      </c>
      <c r="AD143" s="116">
        <v>33940</v>
      </c>
      <c r="AE143" s="116">
        <v>33290</v>
      </c>
      <c r="AF143" s="116">
        <v>33360</v>
      </c>
      <c r="AG143" s="116">
        <v>32730</v>
      </c>
      <c r="AH143" s="116">
        <v>32340</v>
      </c>
      <c r="AI143" s="116">
        <v>32280</v>
      </c>
      <c r="AJ143" s="116">
        <v>31730</v>
      </c>
      <c r="AK143" s="116">
        <v>32740</v>
      </c>
      <c r="AL143" s="116">
        <v>32280</v>
      </c>
      <c r="AM143" s="116">
        <v>31410</v>
      </c>
      <c r="AN143" s="116">
        <v>31390</v>
      </c>
      <c r="AO143" s="116">
        <v>32320</v>
      </c>
      <c r="AP143" s="116">
        <v>32200</v>
      </c>
      <c r="AQ143" s="116">
        <v>33150</v>
      </c>
      <c r="AR143" s="116">
        <v>34240</v>
      </c>
      <c r="AS143" s="116">
        <v>34370</v>
      </c>
      <c r="AT143" s="116">
        <v>34230</v>
      </c>
      <c r="AU143" s="116">
        <v>33950</v>
      </c>
      <c r="AV143" s="116">
        <v>33710</v>
      </c>
      <c r="AW143" s="116">
        <v>33510</v>
      </c>
      <c r="AX143" s="116">
        <v>33350</v>
      </c>
      <c r="AY143" s="116">
        <v>33230</v>
      </c>
      <c r="AZ143" s="116">
        <v>33150</v>
      </c>
      <c r="BA143" s="116">
        <v>33090</v>
      </c>
      <c r="BB143" s="116">
        <v>33050</v>
      </c>
      <c r="BC143" s="116">
        <v>33030</v>
      </c>
      <c r="BD143" s="116">
        <v>33030</v>
      </c>
      <c r="BE143" s="116">
        <v>33020</v>
      </c>
      <c r="BF143" s="116">
        <v>33020</v>
      </c>
    </row>
    <row r="144" spans="1:58" ht="12.75">
      <c r="A144" s="118" t="s">
        <v>350</v>
      </c>
      <c r="B144" s="11"/>
      <c r="C144" s="116">
        <v>32420</v>
      </c>
      <c r="D144" s="116">
        <v>32090</v>
      </c>
      <c r="E144" s="116">
        <v>32360</v>
      </c>
      <c r="F144" s="116">
        <v>32700</v>
      </c>
      <c r="G144" s="116">
        <v>33250</v>
      </c>
      <c r="H144" s="116">
        <v>33050</v>
      </c>
      <c r="I144" s="116">
        <v>34060</v>
      </c>
      <c r="J144" s="116">
        <v>33630</v>
      </c>
      <c r="K144" s="116">
        <v>32360</v>
      </c>
      <c r="L144" s="116">
        <v>31350</v>
      </c>
      <c r="M144" s="116">
        <v>30390</v>
      </c>
      <c r="N144" s="116">
        <v>29210</v>
      </c>
      <c r="O144" s="116">
        <v>29370</v>
      </c>
      <c r="P144" s="116">
        <v>29010</v>
      </c>
      <c r="Q144" s="116">
        <v>30100</v>
      </c>
      <c r="R144" s="116">
        <v>30380</v>
      </c>
      <c r="S144" s="116">
        <v>30840</v>
      </c>
      <c r="T144" s="116">
        <v>31460</v>
      </c>
      <c r="U144" s="116">
        <v>32150</v>
      </c>
      <c r="V144" s="116">
        <v>32090</v>
      </c>
      <c r="W144" s="116">
        <v>32100</v>
      </c>
      <c r="X144" s="116">
        <v>31930</v>
      </c>
      <c r="Y144" s="116">
        <v>31260</v>
      </c>
      <c r="Z144" s="116">
        <v>32480</v>
      </c>
      <c r="AA144" s="116">
        <v>33380</v>
      </c>
      <c r="AB144" s="116">
        <v>34710</v>
      </c>
      <c r="AC144" s="116">
        <v>34980</v>
      </c>
      <c r="AD144" s="116">
        <v>34100</v>
      </c>
      <c r="AE144" s="116">
        <v>34030</v>
      </c>
      <c r="AF144" s="116">
        <v>33370</v>
      </c>
      <c r="AG144" s="116">
        <v>33440</v>
      </c>
      <c r="AH144" s="116">
        <v>32820</v>
      </c>
      <c r="AI144" s="116">
        <v>32420</v>
      </c>
      <c r="AJ144" s="116">
        <v>32360</v>
      </c>
      <c r="AK144" s="116">
        <v>31810</v>
      </c>
      <c r="AL144" s="116">
        <v>32820</v>
      </c>
      <c r="AM144" s="116">
        <v>32360</v>
      </c>
      <c r="AN144" s="116">
        <v>31490</v>
      </c>
      <c r="AO144" s="116">
        <v>31470</v>
      </c>
      <c r="AP144" s="116">
        <v>32400</v>
      </c>
      <c r="AQ144" s="116">
        <v>32280</v>
      </c>
      <c r="AR144" s="116">
        <v>33230</v>
      </c>
      <c r="AS144" s="116">
        <v>34320</v>
      </c>
      <c r="AT144" s="116">
        <v>34450</v>
      </c>
      <c r="AU144" s="116">
        <v>34320</v>
      </c>
      <c r="AV144" s="116">
        <v>34030</v>
      </c>
      <c r="AW144" s="116">
        <v>33790</v>
      </c>
      <c r="AX144" s="116">
        <v>33600</v>
      </c>
      <c r="AY144" s="116">
        <v>33440</v>
      </c>
      <c r="AZ144" s="116">
        <v>33320</v>
      </c>
      <c r="BA144" s="116">
        <v>33230</v>
      </c>
      <c r="BB144" s="116">
        <v>33170</v>
      </c>
      <c r="BC144" s="116">
        <v>33140</v>
      </c>
      <c r="BD144" s="116">
        <v>33120</v>
      </c>
      <c r="BE144" s="116">
        <v>33110</v>
      </c>
      <c r="BF144" s="116">
        <v>33100</v>
      </c>
    </row>
    <row r="145" spans="1:58" ht="12.75">
      <c r="A145" s="118" t="s">
        <v>351</v>
      </c>
      <c r="B145" s="11"/>
      <c r="C145" s="116">
        <v>33510</v>
      </c>
      <c r="D145" s="116">
        <v>32470</v>
      </c>
      <c r="E145" s="116">
        <v>32110</v>
      </c>
      <c r="F145" s="116">
        <v>32400</v>
      </c>
      <c r="G145" s="116">
        <v>32750</v>
      </c>
      <c r="H145" s="116">
        <v>33300</v>
      </c>
      <c r="I145" s="116">
        <v>33100</v>
      </c>
      <c r="J145" s="116">
        <v>34100</v>
      </c>
      <c r="K145" s="116">
        <v>33680</v>
      </c>
      <c r="L145" s="116">
        <v>32410</v>
      </c>
      <c r="M145" s="116">
        <v>31400</v>
      </c>
      <c r="N145" s="116">
        <v>30450</v>
      </c>
      <c r="O145" s="116">
        <v>29270</v>
      </c>
      <c r="P145" s="116">
        <v>29420</v>
      </c>
      <c r="Q145" s="116">
        <v>29060</v>
      </c>
      <c r="R145" s="116">
        <v>30150</v>
      </c>
      <c r="S145" s="116">
        <v>30440</v>
      </c>
      <c r="T145" s="116">
        <v>30900</v>
      </c>
      <c r="U145" s="116">
        <v>31510</v>
      </c>
      <c r="V145" s="116">
        <v>32200</v>
      </c>
      <c r="W145" s="116">
        <v>32140</v>
      </c>
      <c r="X145" s="116">
        <v>32160</v>
      </c>
      <c r="Y145" s="116">
        <v>31980</v>
      </c>
      <c r="Z145" s="116">
        <v>31320</v>
      </c>
      <c r="AA145" s="116">
        <v>32530</v>
      </c>
      <c r="AB145" s="116">
        <v>33430</v>
      </c>
      <c r="AC145" s="116">
        <v>34760</v>
      </c>
      <c r="AD145" s="116">
        <v>35040</v>
      </c>
      <c r="AE145" s="116">
        <v>34160</v>
      </c>
      <c r="AF145" s="116">
        <v>34080</v>
      </c>
      <c r="AG145" s="116">
        <v>33430</v>
      </c>
      <c r="AH145" s="116">
        <v>33500</v>
      </c>
      <c r="AI145" s="116">
        <v>32870</v>
      </c>
      <c r="AJ145" s="116">
        <v>32480</v>
      </c>
      <c r="AK145" s="116">
        <v>32420</v>
      </c>
      <c r="AL145" s="116">
        <v>31870</v>
      </c>
      <c r="AM145" s="116">
        <v>32880</v>
      </c>
      <c r="AN145" s="116">
        <v>32420</v>
      </c>
      <c r="AO145" s="116">
        <v>31550</v>
      </c>
      <c r="AP145" s="116">
        <v>31530</v>
      </c>
      <c r="AQ145" s="116">
        <v>32460</v>
      </c>
      <c r="AR145" s="116">
        <v>32340</v>
      </c>
      <c r="AS145" s="116">
        <v>33290</v>
      </c>
      <c r="AT145" s="116">
        <v>34380</v>
      </c>
      <c r="AU145" s="116">
        <v>34510</v>
      </c>
      <c r="AV145" s="116">
        <v>34370</v>
      </c>
      <c r="AW145" s="116">
        <v>34090</v>
      </c>
      <c r="AX145" s="116">
        <v>33850</v>
      </c>
      <c r="AY145" s="116">
        <v>33650</v>
      </c>
      <c r="AZ145" s="116">
        <v>33500</v>
      </c>
      <c r="BA145" s="116">
        <v>33380</v>
      </c>
      <c r="BB145" s="116">
        <v>33290</v>
      </c>
      <c r="BC145" s="116">
        <v>33230</v>
      </c>
      <c r="BD145" s="116">
        <v>33200</v>
      </c>
      <c r="BE145" s="116">
        <v>33180</v>
      </c>
      <c r="BF145" s="116">
        <v>33170</v>
      </c>
    </row>
    <row r="146" spans="1:58" ht="12.75">
      <c r="A146" s="118" t="s">
        <v>352</v>
      </c>
      <c r="B146" s="11"/>
      <c r="C146" s="116">
        <v>34420</v>
      </c>
      <c r="D146" s="116">
        <v>33530</v>
      </c>
      <c r="E146" s="116">
        <v>32470</v>
      </c>
      <c r="F146" s="116">
        <v>32130</v>
      </c>
      <c r="G146" s="116">
        <v>32420</v>
      </c>
      <c r="H146" s="116">
        <v>32770</v>
      </c>
      <c r="I146" s="116">
        <v>33320</v>
      </c>
      <c r="J146" s="116">
        <v>33120</v>
      </c>
      <c r="K146" s="116">
        <v>34130</v>
      </c>
      <c r="L146" s="116">
        <v>33710</v>
      </c>
      <c r="M146" s="116">
        <v>32440</v>
      </c>
      <c r="N146" s="116">
        <v>31430</v>
      </c>
      <c r="O146" s="116">
        <v>30480</v>
      </c>
      <c r="P146" s="116">
        <v>29300</v>
      </c>
      <c r="Q146" s="116">
        <v>29460</v>
      </c>
      <c r="R146" s="116">
        <v>29100</v>
      </c>
      <c r="S146" s="116">
        <v>30190</v>
      </c>
      <c r="T146" s="116">
        <v>30470</v>
      </c>
      <c r="U146" s="116">
        <v>30930</v>
      </c>
      <c r="V146" s="116">
        <v>31540</v>
      </c>
      <c r="W146" s="116">
        <v>32240</v>
      </c>
      <c r="X146" s="116">
        <v>32170</v>
      </c>
      <c r="Y146" s="116">
        <v>32190</v>
      </c>
      <c r="Z146" s="116">
        <v>32020</v>
      </c>
      <c r="AA146" s="116">
        <v>31350</v>
      </c>
      <c r="AB146" s="116">
        <v>32570</v>
      </c>
      <c r="AC146" s="116">
        <v>33470</v>
      </c>
      <c r="AD146" s="116">
        <v>34800</v>
      </c>
      <c r="AE146" s="116">
        <v>35070</v>
      </c>
      <c r="AF146" s="116">
        <v>34190</v>
      </c>
      <c r="AG146" s="116">
        <v>34120</v>
      </c>
      <c r="AH146" s="116">
        <v>33460</v>
      </c>
      <c r="AI146" s="116">
        <v>33530</v>
      </c>
      <c r="AJ146" s="116">
        <v>32910</v>
      </c>
      <c r="AK146" s="116">
        <v>32510</v>
      </c>
      <c r="AL146" s="116">
        <v>32450</v>
      </c>
      <c r="AM146" s="116">
        <v>31910</v>
      </c>
      <c r="AN146" s="116">
        <v>32920</v>
      </c>
      <c r="AO146" s="116">
        <v>32460</v>
      </c>
      <c r="AP146" s="116">
        <v>31590</v>
      </c>
      <c r="AQ146" s="116">
        <v>31570</v>
      </c>
      <c r="AR146" s="116">
        <v>32500</v>
      </c>
      <c r="AS146" s="116">
        <v>32380</v>
      </c>
      <c r="AT146" s="116">
        <v>33330</v>
      </c>
      <c r="AU146" s="116">
        <v>34410</v>
      </c>
      <c r="AV146" s="116">
        <v>34550</v>
      </c>
      <c r="AW146" s="116">
        <v>34410</v>
      </c>
      <c r="AX146" s="116">
        <v>34130</v>
      </c>
      <c r="AY146" s="116">
        <v>33890</v>
      </c>
      <c r="AZ146" s="116">
        <v>33690</v>
      </c>
      <c r="BA146" s="116">
        <v>33540</v>
      </c>
      <c r="BB146" s="116">
        <v>33410</v>
      </c>
      <c r="BC146" s="116">
        <v>33330</v>
      </c>
      <c r="BD146" s="116">
        <v>33270</v>
      </c>
      <c r="BE146" s="116">
        <v>33230</v>
      </c>
      <c r="BF146" s="116">
        <v>33220</v>
      </c>
    </row>
    <row r="147" spans="1:58" ht="12.75">
      <c r="A147" s="118" t="s">
        <v>353</v>
      </c>
      <c r="B147" s="11"/>
      <c r="C147" s="116">
        <v>34170</v>
      </c>
      <c r="D147" s="116">
        <v>34420</v>
      </c>
      <c r="E147" s="116">
        <v>33510</v>
      </c>
      <c r="F147" s="116">
        <v>32470</v>
      </c>
      <c r="G147" s="116">
        <v>32130</v>
      </c>
      <c r="H147" s="116">
        <v>32430</v>
      </c>
      <c r="I147" s="116">
        <v>32770</v>
      </c>
      <c r="J147" s="116">
        <v>33320</v>
      </c>
      <c r="K147" s="116">
        <v>33130</v>
      </c>
      <c r="L147" s="116">
        <v>34130</v>
      </c>
      <c r="M147" s="116">
        <v>33710</v>
      </c>
      <c r="N147" s="116">
        <v>32440</v>
      </c>
      <c r="O147" s="116">
        <v>31440</v>
      </c>
      <c r="P147" s="116">
        <v>30490</v>
      </c>
      <c r="Q147" s="116">
        <v>29310</v>
      </c>
      <c r="R147" s="116">
        <v>29470</v>
      </c>
      <c r="S147" s="116">
        <v>29110</v>
      </c>
      <c r="T147" s="116">
        <v>30200</v>
      </c>
      <c r="U147" s="116">
        <v>30480</v>
      </c>
      <c r="V147" s="116">
        <v>30940</v>
      </c>
      <c r="W147" s="116">
        <v>31560</v>
      </c>
      <c r="X147" s="116">
        <v>32250</v>
      </c>
      <c r="Y147" s="116">
        <v>32190</v>
      </c>
      <c r="Z147" s="116">
        <v>32210</v>
      </c>
      <c r="AA147" s="116">
        <v>32030</v>
      </c>
      <c r="AB147" s="116">
        <v>31370</v>
      </c>
      <c r="AC147" s="116">
        <v>32580</v>
      </c>
      <c r="AD147" s="116">
        <v>33480</v>
      </c>
      <c r="AE147" s="116">
        <v>34810</v>
      </c>
      <c r="AF147" s="116">
        <v>35080</v>
      </c>
      <c r="AG147" s="116">
        <v>34210</v>
      </c>
      <c r="AH147" s="116">
        <v>34130</v>
      </c>
      <c r="AI147" s="116">
        <v>33480</v>
      </c>
      <c r="AJ147" s="116">
        <v>33550</v>
      </c>
      <c r="AK147" s="116">
        <v>32930</v>
      </c>
      <c r="AL147" s="116">
        <v>32530</v>
      </c>
      <c r="AM147" s="116">
        <v>32470</v>
      </c>
      <c r="AN147" s="116">
        <v>31930</v>
      </c>
      <c r="AO147" s="116">
        <v>32930</v>
      </c>
      <c r="AP147" s="116">
        <v>32480</v>
      </c>
      <c r="AQ147" s="116">
        <v>31610</v>
      </c>
      <c r="AR147" s="116">
        <v>31590</v>
      </c>
      <c r="AS147" s="116">
        <v>32510</v>
      </c>
      <c r="AT147" s="116">
        <v>32400</v>
      </c>
      <c r="AU147" s="116">
        <v>33350</v>
      </c>
      <c r="AV147" s="116">
        <v>34430</v>
      </c>
      <c r="AW147" s="116">
        <v>34570</v>
      </c>
      <c r="AX147" s="116">
        <v>34430</v>
      </c>
      <c r="AY147" s="116">
        <v>34150</v>
      </c>
      <c r="AZ147" s="116">
        <v>33910</v>
      </c>
      <c r="BA147" s="116">
        <v>33710</v>
      </c>
      <c r="BB147" s="116">
        <v>33550</v>
      </c>
      <c r="BC147" s="116">
        <v>33430</v>
      </c>
      <c r="BD147" s="116">
        <v>33350</v>
      </c>
      <c r="BE147" s="116">
        <v>33290</v>
      </c>
      <c r="BF147" s="116">
        <v>33250</v>
      </c>
    </row>
    <row r="148" spans="1:58" ht="12.75">
      <c r="A148" s="118" t="s">
        <v>354</v>
      </c>
      <c r="B148" s="11"/>
      <c r="C148" s="116">
        <v>33510</v>
      </c>
      <c r="D148" s="116">
        <v>34150</v>
      </c>
      <c r="E148" s="116">
        <v>34380</v>
      </c>
      <c r="F148" s="116">
        <v>33480</v>
      </c>
      <c r="G148" s="116">
        <v>32450</v>
      </c>
      <c r="H148" s="116">
        <v>32120</v>
      </c>
      <c r="I148" s="116">
        <v>32410</v>
      </c>
      <c r="J148" s="116">
        <v>32760</v>
      </c>
      <c r="K148" s="116">
        <v>33310</v>
      </c>
      <c r="L148" s="116">
        <v>33110</v>
      </c>
      <c r="M148" s="116">
        <v>34110</v>
      </c>
      <c r="N148" s="116">
        <v>33700</v>
      </c>
      <c r="O148" s="116">
        <v>32430</v>
      </c>
      <c r="P148" s="116">
        <v>31430</v>
      </c>
      <c r="Q148" s="116">
        <v>30480</v>
      </c>
      <c r="R148" s="116">
        <v>29310</v>
      </c>
      <c r="S148" s="116">
        <v>29460</v>
      </c>
      <c r="T148" s="116">
        <v>29110</v>
      </c>
      <c r="U148" s="116">
        <v>30190</v>
      </c>
      <c r="V148" s="116">
        <v>30480</v>
      </c>
      <c r="W148" s="116">
        <v>30940</v>
      </c>
      <c r="X148" s="116">
        <v>31550</v>
      </c>
      <c r="Y148" s="116">
        <v>32240</v>
      </c>
      <c r="Z148" s="116">
        <v>32180</v>
      </c>
      <c r="AA148" s="116">
        <v>32200</v>
      </c>
      <c r="AB148" s="116">
        <v>32020</v>
      </c>
      <c r="AC148" s="116">
        <v>31360</v>
      </c>
      <c r="AD148" s="116">
        <v>32570</v>
      </c>
      <c r="AE148" s="116">
        <v>33480</v>
      </c>
      <c r="AF148" s="116">
        <v>34800</v>
      </c>
      <c r="AG148" s="116">
        <v>35080</v>
      </c>
      <c r="AH148" s="116">
        <v>34200</v>
      </c>
      <c r="AI148" s="116">
        <v>34120</v>
      </c>
      <c r="AJ148" s="116">
        <v>33470</v>
      </c>
      <c r="AK148" s="116">
        <v>33540</v>
      </c>
      <c r="AL148" s="116">
        <v>32920</v>
      </c>
      <c r="AM148" s="116">
        <v>32530</v>
      </c>
      <c r="AN148" s="116">
        <v>32470</v>
      </c>
      <c r="AO148" s="116">
        <v>31920</v>
      </c>
      <c r="AP148" s="116">
        <v>32930</v>
      </c>
      <c r="AQ148" s="116">
        <v>32470</v>
      </c>
      <c r="AR148" s="116">
        <v>31600</v>
      </c>
      <c r="AS148" s="116">
        <v>31590</v>
      </c>
      <c r="AT148" s="116">
        <v>32510</v>
      </c>
      <c r="AU148" s="116">
        <v>32400</v>
      </c>
      <c r="AV148" s="116">
        <v>33350</v>
      </c>
      <c r="AW148" s="116">
        <v>34430</v>
      </c>
      <c r="AX148" s="116">
        <v>34560</v>
      </c>
      <c r="AY148" s="116">
        <v>34430</v>
      </c>
      <c r="AZ148" s="116">
        <v>34140</v>
      </c>
      <c r="BA148" s="116">
        <v>33910</v>
      </c>
      <c r="BB148" s="116">
        <v>33710</v>
      </c>
      <c r="BC148" s="116">
        <v>33550</v>
      </c>
      <c r="BD148" s="116">
        <v>33430</v>
      </c>
      <c r="BE148" s="116">
        <v>33340</v>
      </c>
      <c r="BF148" s="116">
        <v>33290</v>
      </c>
    </row>
    <row r="149" spans="1:58" ht="12.75">
      <c r="A149" s="118" t="s">
        <v>355</v>
      </c>
      <c r="B149" s="11"/>
      <c r="C149" s="116">
        <v>31920</v>
      </c>
      <c r="D149" s="116">
        <v>33470</v>
      </c>
      <c r="E149" s="116">
        <v>34090</v>
      </c>
      <c r="F149" s="116">
        <v>34330</v>
      </c>
      <c r="G149" s="116">
        <v>33450</v>
      </c>
      <c r="H149" s="116">
        <v>32420</v>
      </c>
      <c r="I149" s="116">
        <v>32080</v>
      </c>
      <c r="J149" s="116">
        <v>32380</v>
      </c>
      <c r="K149" s="116">
        <v>32730</v>
      </c>
      <c r="L149" s="116">
        <v>33280</v>
      </c>
      <c r="M149" s="116">
        <v>33080</v>
      </c>
      <c r="N149" s="116">
        <v>34080</v>
      </c>
      <c r="O149" s="116">
        <v>33670</v>
      </c>
      <c r="P149" s="116">
        <v>32400</v>
      </c>
      <c r="Q149" s="116">
        <v>31400</v>
      </c>
      <c r="R149" s="116">
        <v>30460</v>
      </c>
      <c r="S149" s="116">
        <v>29280</v>
      </c>
      <c r="T149" s="116">
        <v>29440</v>
      </c>
      <c r="U149" s="116">
        <v>29090</v>
      </c>
      <c r="V149" s="116">
        <v>30170</v>
      </c>
      <c r="W149" s="116">
        <v>30460</v>
      </c>
      <c r="X149" s="116">
        <v>30910</v>
      </c>
      <c r="Y149" s="116">
        <v>31530</v>
      </c>
      <c r="Z149" s="116">
        <v>32220</v>
      </c>
      <c r="AA149" s="116">
        <v>32160</v>
      </c>
      <c r="AB149" s="116">
        <v>32180</v>
      </c>
      <c r="AC149" s="116">
        <v>32000</v>
      </c>
      <c r="AD149" s="116">
        <v>31340</v>
      </c>
      <c r="AE149" s="116">
        <v>32550</v>
      </c>
      <c r="AF149" s="116">
        <v>33450</v>
      </c>
      <c r="AG149" s="116">
        <v>34780</v>
      </c>
      <c r="AH149" s="116">
        <v>35060</v>
      </c>
      <c r="AI149" s="116">
        <v>34180</v>
      </c>
      <c r="AJ149" s="116">
        <v>34110</v>
      </c>
      <c r="AK149" s="116">
        <v>33460</v>
      </c>
      <c r="AL149" s="116">
        <v>33520</v>
      </c>
      <c r="AM149" s="116">
        <v>32900</v>
      </c>
      <c r="AN149" s="116">
        <v>32510</v>
      </c>
      <c r="AO149" s="116">
        <v>32450</v>
      </c>
      <c r="AP149" s="116">
        <v>31910</v>
      </c>
      <c r="AQ149" s="116">
        <v>32920</v>
      </c>
      <c r="AR149" s="116">
        <v>32460</v>
      </c>
      <c r="AS149" s="116">
        <v>31590</v>
      </c>
      <c r="AT149" s="116">
        <v>31570</v>
      </c>
      <c r="AU149" s="116">
        <v>32500</v>
      </c>
      <c r="AV149" s="116">
        <v>32380</v>
      </c>
      <c r="AW149" s="116">
        <v>33330</v>
      </c>
      <c r="AX149" s="116">
        <v>34410</v>
      </c>
      <c r="AY149" s="116">
        <v>34550</v>
      </c>
      <c r="AZ149" s="116">
        <v>34410</v>
      </c>
      <c r="BA149" s="116">
        <v>34130</v>
      </c>
      <c r="BB149" s="116">
        <v>33890</v>
      </c>
      <c r="BC149" s="116">
        <v>33690</v>
      </c>
      <c r="BD149" s="116">
        <v>33540</v>
      </c>
      <c r="BE149" s="116">
        <v>33410</v>
      </c>
      <c r="BF149" s="116">
        <v>33330</v>
      </c>
    </row>
    <row r="150" spans="1:58" ht="12.75">
      <c r="A150" s="118" t="s">
        <v>356</v>
      </c>
      <c r="B150" s="11"/>
      <c r="C150" s="116">
        <v>31370</v>
      </c>
      <c r="D150" s="116">
        <v>31860</v>
      </c>
      <c r="E150" s="116">
        <v>33390</v>
      </c>
      <c r="F150" s="116">
        <v>34020</v>
      </c>
      <c r="G150" s="116">
        <v>34270</v>
      </c>
      <c r="H150" s="116">
        <v>33390</v>
      </c>
      <c r="I150" s="116">
        <v>32360</v>
      </c>
      <c r="J150" s="116">
        <v>32030</v>
      </c>
      <c r="K150" s="116">
        <v>32320</v>
      </c>
      <c r="L150" s="116">
        <v>32670</v>
      </c>
      <c r="M150" s="116">
        <v>33220</v>
      </c>
      <c r="N150" s="116">
        <v>33030</v>
      </c>
      <c r="O150" s="116">
        <v>34030</v>
      </c>
      <c r="P150" s="116">
        <v>33620</v>
      </c>
      <c r="Q150" s="116">
        <v>32360</v>
      </c>
      <c r="R150" s="116">
        <v>31350</v>
      </c>
      <c r="S150" s="116">
        <v>30410</v>
      </c>
      <c r="T150" s="116">
        <v>29240</v>
      </c>
      <c r="U150" s="116">
        <v>29400</v>
      </c>
      <c r="V150" s="116">
        <v>29040</v>
      </c>
      <c r="W150" s="116">
        <v>30130</v>
      </c>
      <c r="X150" s="116">
        <v>30410</v>
      </c>
      <c r="Y150" s="116">
        <v>30870</v>
      </c>
      <c r="Z150" s="116">
        <v>31490</v>
      </c>
      <c r="AA150" s="116">
        <v>32180</v>
      </c>
      <c r="AB150" s="116">
        <v>32120</v>
      </c>
      <c r="AC150" s="116">
        <v>32140</v>
      </c>
      <c r="AD150" s="116">
        <v>31960</v>
      </c>
      <c r="AE150" s="116">
        <v>31300</v>
      </c>
      <c r="AF150" s="116">
        <v>32510</v>
      </c>
      <c r="AG150" s="116">
        <v>33410</v>
      </c>
      <c r="AH150" s="116">
        <v>34740</v>
      </c>
      <c r="AI150" s="116">
        <v>35010</v>
      </c>
      <c r="AJ150" s="116">
        <v>34140</v>
      </c>
      <c r="AK150" s="116">
        <v>34060</v>
      </c>
      <c r="AL150" s="116">
        <v>33420</v>
      </c>
      <c r="AM150" s="116">
        <v>33480</v>
      </c>
      <c r="AN150" s="116">
        <v>32870</v>
      </c>
      <c r="AO150" s="116">
        <v>32470</v>
      </c>
      <c r="AP150" s="116">
        <v>32410</v>
      </c>
      <c r="AQ150" s="116">
        <v>31870</v>
      </c>
      <c r="AR150" s="116">
        <v>32880</v>
      </c>
      <c r="AS150" s="116">
        <v>32420</v>
      </c>
      <c r="AT150" s="116">
        <v>31550</v>
      </c>
      <c r="AU150" s="116">
        <v>31540</v>
      </c>
      <c r="AV150" s="116">
        <v>32460</v>
      </c>
      <c r="AW150" s="116">
        <v>32350</v>
      </c>
      <c r="AX150" s="116">
        <v>33290</v>
      </c>
      <c r="AY150" s="116">
        <v>34370</v>
      </c>
      <c r="AZ150" s="116">
        <v>34510</v>
      </c>
      <c r="BA150" s="116">
        <v>34370</v>
      </c>
      <c r="BB150" s="116">
        <v>34090</v>
      </c>
      <c r="BC150" s="116">
        <v>33850</v>
      </c>
      <c r="BD150" s="116">
        <v>33660</v>
      </c>
      <c r="BE150" s="116">
        <v>33500</v>
      </c>
      <c r="BF150" s="116">
        <v>33380</v>
      </c>
    </row>
    <row r="151" spans="1:58" ht="12.75">
      <c r="A151" s="118" t="s">
        <v>357</v>
      </c>
      <c r="B151" s="11"/>
      <c r="C151" s="116">
        <v>29970</v>
      </c>
      <c r="D151" s="116">
        <v>31290</v>
      </c>
      <c r="E151" s="116">
        <v>31760</v>
      </c>
      <c r="F151" s="116">
        <v>33300</v>
      </c>
      <c r="G151" s="116">
        <v>33940</v>
      </c>
      <c r="H151" s="116">
        <v>34190</v>
      </c>
      <c r="I151" s="116">
        <v>33310</v>
      </c>
      <c r="J151" s="116">
        <v>32290</v>
      </c>
      <c r="K151" s="116">
        <v>31960</v>
      </c>
      <c r="L151" s="116">
        <v>32250</v>
      </c>
      <c r="M151" s="116">
        <v>32600</v>
      </c>
      <c r="N151" s="116">
        <v>33150</v>
      </c>
      <c r="O151" s="116">
        <v>32960</v>
      </c>
      <c r="P151" s="116">
        <v>33960</v>
      </c>
      <c r="Q151" s="116">
        <v>33550</v>
      </c>
      <c r="R151" s="116">
        <v>32290</v>
      </c>
      <c r="S151" s="116">
        <v>31290</v>
      </c>
      <c r="T151" s="116">
        <v>30350</v>
      </c>
      <c r="U151" s="116">
        <v>29180</v>
      </c>
      <c r="V151" s="116">
        <v>29340</v>
      </c>
      <c r="W151" s="116">
        <v>28990</v>
      </c>
      <c r="X151" s="116">
        <v>30070</v>
      </c>
      <c r="Y151" s="116">
        <v>30350</v>
      </c>
      <c r="Z151" s="116">
        <v>30810</v>
      </c>
      <c r="AA151" s="116">
        <v>31430</v>
      </c>
      <c r="AB151" s="116">
        <v>32120</v>
      </c>
      <c r="AC151" s="116">
        <v>32060</v>
      </c>
      <c r="AD151" s="116">
        <v>32080</v>
      </c>
      <c r="AE151" s="116">
        <v>31900</v>
      </c>
      <c r="AF151" s="116">
        <v>31240</v>
      </c>
      <c r="AG151" s="116">
        <v>32460</v>
      </c>
      <c r="AH151" s="116">
        <v>33350</v>
      </c>
      <c r="AI151" s="116">
        <v>34680</v>
      </c>
      <c r="AJ151" s="116">
        <v>34950</v>
      </c>
      <c r="AK151" s="116">
        <v>34080</v>
      </c>
      <c r="AL151" s="116">
        <v>34000</v>
      </c>
      <c r="AM151" s="116">
        <v>33360</v>
      </c>
      <c r="AN151" s="116">
        <v>33430</v>
      </c>
      <c r="AO151" s="116">
        <v>32810</v>
      </c>
      <c r="AP151" s="116">
        <v>32420</v>
      </c>
      <c r="AQ151" s="116">
        <v>32360</v>
      </c>
      <c r="AR151" s="116">
        <v>31820</v>
      </c>
      <c r="AS151" s="116">
        <v>32820</v>
      </c>
      <c r="AT151" s="116">
        <v>32370</v>
      </c>
      <c r="AU151" s="116">
        <v>31500</v>
      </c>
      <c r="AV151" s="116">
        <v>31480</v>
      </c>
      <c r="AW151" s="116">
        <v>32410</v>
      </c>
      <c r="AX151" s="116">
        <v>32290</v>
      </c>
      <c r="AY151" s="116">
        <v>33240</v>
      </c>
      <c r="AZ151" s="116">
        <v>34320</v>
      </c>
      <c r="BA151" s="116">
        <v>34450</v>
      </c>
      <c r="BB151" s="116">
        <v>34310</v>
      </c>
      <c r="BC151" s="116">
        <v>34030</v>
      </c>
      <c r="BD151" s="116">
        <v>33800</v>
      </c>
      <c r="BE151" s="116">
        <v>33600</v>
      </c>
      <c r="BF151" s="116">
        <v>33440</v>
      </c>
    </row>
    <row r="152" spans="1:58" ht="12.75">
      <c r="A152" s="118" t="s">
        <v>358</v>
      </c>
      <c r="B152" s="11"/>
      <c r="C152" s="116">
        <v>29280</v>
      </c>
      <c r="D152" s="116">
        <v>29880</v>
      </c>
      <c r="E152" s="116">
        <v>31180</v>
      </c>
      <c r="F152" s="116">
        <v>31660</v>
      </c>
      <c r="G152" s="116">
        <v>33210</v>
      </c>
      <c r="H152" s="116">
        <v>33850</v>
      </c>
      <c r="I152" s="116">
        <v>34100</v>
      </c>
      <c r="J152" s="116">
        <v>33220</v>
      </c>
      <c r="K152" s="116">
        <v>32200</v>
      </c>
      <c r="L152" s="116">
        <v>31870</v>
      </c>
      <c r="M152" s="116">
        <v>32170</v>
      </c>
      <c r="N152" s="116">
        <v>32510</v>
      </c>
      <c r="O152" s="116">
        <v>33060</v>
      </c>
      <c r="P152" s="116">
        <v>32870</v>
      </c>
      <c r="Q152" s="116">
        <v>33870</v>
      </c>
      <c r="R152" s="116">
        <v>33460</v>
      </c>
      <c r="S152" s="116">
        <v>32210</v>
      </c>
      <c r="T152" s="116">
        <v>31210</v>
      </c>
      <c r="U152" s="116">
        <v>30270</v>
      </c>
      <c r="V152" s="116">
        <v>29110</v>
      </c>
      <c r="W152" s="116">
        <v>29260</v>
      </c>
      <c r="X152" s="116">
        <v>28910</v>
      </c>
      <c r="Y152" s="116">
        <v>30000</v>
      </c>
      <c r="Z152" s="116">
        <v>30280</v>
      </c>
      <c r="AA152" s="116">
        <v>30740</v>
      </c>
      <c r="AB152" s="116">
        <v>31350</v>
      </c>
      <c r="AC152" s="116">
        <v>32040</v>
      </c>
      <c r="AD152" s="116">
        <v>31980</v>
      </c>
      <c r="AE152" s="116">
        <v>32000</v>
      </c>
      <c r="AF152" s="116">
        <v>31830</v>
      </c>
      <c r="AG152" s="116">
        <v>31170</v>
      </c>
      <c r="AH152" s="116">
        <v>32380</v>
      </c>
      <c r="AI152" s="116">
        <v>33280</v>
      </c>
      <c r="AJ152" s="116">
        <v>34600</v>
      </c>
      <c r="AK152" s="116">
        <v>34880</v>
      </c>
      <c r="AL152" s="116">
        <v>34010</v>
      </c>
      <c r="AM152" s="116">
        <v>33930</v>
      </c>
      <c r="AN152" s="116">
        <v>33290</v>
      </c>
      <c r="AO152" s="116">
        <v>33350</v>
      </c>
      <c r="AP152" s="116">
        <v>32740</v>
      </c>
      <c r="AQ152" s="116">
        <v>32350</v>
      </c>
      <c r="AR152" s="116">
        <v>32290</v>
      </c>
      <c r="AS152" s="116">
        <v>31750</v>
      </c>
      <c r="AT152" s="116">
        <v>32750</v>
      </c>
      <c r="AU152" s="116">
        <v>32300</v>
      </c>
      <c r="AV152" s="116">
        <v>31430</v>
      </c>
      <c r="AW152" s="116">
        <v>31410</v>
      </c>
      <c r="AX152" s="116">
        <v>32340</v>
      </c>
      <c r="AY152" s="116">
        <v>32220</v>
      </c>
      <c r="AZ152" s="116">
        <v>33170</v>
      </c>
      <c r="BA152" s="116">
        <v>34240</v>
      </c>
      <c r="BB152" s="116">
        <v>34380</v>
      </c>
      <c r="BC152" s="116">
        <v>34240</v>
      </c>
      <c r="BD152" s="116">
        <v>33960</v>
      </c>
      <c r="BE152" s="116">
        <v>33730</v>
      </c>
      <c r="BF152" s="116">
        <v>33530</v>
      </c>
    </row>
    <row r="153" spans="1:58" ht="12.75">
      <c r="A153" s="118" t="s">
        <v>359</v>
      </c>
      <c r="B153" s="11"/>
      <c r="C153" s="116">
        <v>28580</v>
      </c>
      <c r="D153" s="116">
        <v>29180</v>
      </c>
      <c r="E153" s="116">
        <v>29750</v>
      </c>
      <c r="F153" s="116">
        <v>31060</v>
      </c>
      <c r="G153" s="116">
        <v>31560</v>
      </c>
      <c r="H153" s="116">
        <v>33100</v>
      </c>
      <c r="I153" s="116">
        <v>33740</v>
      </c>
      <c r="J153" s="116">
        <v>33990</v>
      </c>
      <c r="K153" s="116">
        <v>33110</v>
      </c>
      <c r="L153" s="116">
        <v>32090</v>
      </c>
      <c r="M153" s="116">
        <v>31770</v>
      </c>
      <c r="N153" s="116">
        <v>32070</v>
      </c>
      <c r="O153" s="116">
        <v>32420</v>
      </c>
      <c r="P153" s="116">
        <v>32960</v>
      </c>
      <c r="Q153" s="116">
        <v>32780</v>
      </c>
      <c r="R153" s="116">
        <v>33770</v>
      </c>
      <c r="S153" s="116">
        <v>33360</v>
      </c>
      <c r="T153" s="116">
        <v>32110</v>
      </c>
      <c r="U153" s="116">
        <v>31120</v>
      </c>
      <c r="V153" s="116">
        <v>30180</v>
      </c>
      <c r="W153" s="116">
        <v>29020</v>
      </c>
      <c r="X153" s="116">
        <v>29180</v>
      </c>
      <c r="Y153" s="116">
        <v>28830</v>
      </c>
      <c r="Z153" s="116">
        <v>29910</v>
      </c>
      <c r="AA153" s="116">
        <v>30190</v>
      </c>
      <c r="AB153" s="116">
        <v>30650</v>
      </c>
      <c r="AC153" s="116">
        <v>31260</v>
      </c>
      <c r="AD153" s="116">
        <v>31960</v>
      </c>
      <c r="AE153" s="116">
        <v>31900</v>
      </c>
      <c r="AF153" s="116">
        <v>31920</v>
      </c>
      <c r="AG153" s="116">
        <v>31750</v>
      </c>
      <c r="AH153" s="116">
        <v>31090</v>
      </c>
      <c r="AI153" s="116">
        <v>32300</v>
      </c>
      <c r="AJ153" s="116">
        <v>33190</v>
      </c>
      <c r="AK153" s="116">
        <v>34520</v>
      </c>
      <c r="AL153" s="116">
        <v>34790</v>
      </c>
      <c r="AM153" s="116">
        <v>33920</v>
      </c>
      <c r="AN153" s="116">
        <v>33850</v>
      </c>
      <c r="AO153" s="116">
        <v>33200</v>
      </c>
      <c r="AP153" s="116">
        <v>33270</v>
      </c>
      <c r="AQ153" s="116">
        <v>32660</v>
      </c>
      <c r="AR153" s="116">
        <v>32260</v>
      </c>
      <c r="AS153" s="116">
        <v>32210</v>
      </c>
      <c r="AT153" s="116">
        <v>31670</v>
      </c>
      <c r="AU153" s="116">
        <v>32670</v>
      </c>
      <c r="AV153" s="116">
        <v>32220</v>
      </c>
      <c r="AW153" s="116">
        <v>31350</v>
      </c>
      <c r="AX153" s="116">
        <v>31330</v>
      </c>
      <c r="AY153" s="116">
        <v>32260</v>
      </c>
      <c r="AZ153" s="116">
        <v>32140</v>
      </c>
      <c r="BA153" s="116">
        <v>33080</v>
      </c>
      <c r="BB153" s="116">
        <v>34160</v>
      </c>
      <c r="BC153" s="116">
        <v>34300</v>
      </c>
      <c r="BD153" s="116">
        <v>34160</v>
      </c>
      <c r="BE153" s="116">
        <v>33880</v>
      </c>
      <c r="BF153" s="116">
        <v>33640</v>
      </c>
    </row>
    <row r="154" spans="1:58" ht="12.75">
      <c r="A154" s="118" t="s">
        <v>360</v>
      </c>
      <c r="B154" s="11"/>
      <c r="C154" s="116">
        <v>27550</v>
      </c>
      <c r="D154" s="116">
        <v>28470</v>
      </c>
      <c r="E154" s="116">
        <v>29050</v>
      </c>
      <c r="F154" s="116">
        <v>29640</v>
      </c>
      <c r="G154" s="116">
        <v>30950</v>
      </c>
      <c r="H154" s="116">
        <v>31440</v>
      </c>
      <c r="I154" s="116">
        <v>32980</v>
      </c>
      <c r="J154" s="116">
        <v>33620</v>
      </c>
      <c r="K154" s="116">
        <v>33880</v>
      </c>
      <c r="L154" s="116">
        <v>33000</v>
      </c>
      <c r="M154" s="116">
        <v>31990</v>
      </c>
      <c r="N154" s="116">
        <v>31660</v>
      </c>
      <c r="O154" s="116">
        <v>31960</v>
      </c>
      <c r="P154" s="116">
        <v>32310</v>
      </c>
      <c r="Q154" s="116">
        <v>32860</v>
      </c>
      <c r="R154" s="116">
        <v>32670</v>
      </c>
      <c r="S154" s="116">
        <v>33670</v>
      </c>
      <c r="T154" s="116">
        <v>33260</v>
      </c>
      <c r="U154" s="116">
        <v>32010</v>
      </c>
      <c r="V154" s="116">
        <v>31020</v>
      </c>
      <c r="W154" s="116">
        <v>30090</v>
      </c>
      <c r="X154" s="116">
        <v>28930</v>
      </c>
      <c r="Y154" s="116">
        <v>29090</v>
      </c>
      <c r="Z154" s="116">
        <v>28740</v>
      </c>
      <c r="AA154" s="116">
        <v>29820</v>
      </c>
      <c r="AB154" s="116">
        <v>30100</v>
      </c>
      <c r="AC154" s="116">
        <v>30560</v>
      </c>
      <c r="AD154" s="116">
        <v>31170</v>
      </c>
      <c r="AE154" s="116">
        <v>31860</v>
      </c>
      <c r="AF154" s="116">
        <v>31810</v>
      </c>
      <c r="AG154" s="116">
        <v>31830</v>
      </c>
      <c r="AH154" s="116">
        <v>31650</v>
      </c>
      <c r="AI154" s="116">
        <v>31000</v>
      </c>
      <c r="AJ154" s="116">
        <v>32210</v>
      </c>
      <c r="AK154" s="116">
        <v>33100</v>
      </c>
      <c r="AL154" s="116">
        <v>34420</v>
      </c>
      <c r="AM154" s="116">
        <v>34700</v>
      </c>
      <c r="AN154" s="116">
        <v>33830</v>
      </c>
      <c r="AO154" s="116">
        <v>33760</v>
      </c>
      <c r="AP154" s="116">
        <v>33110</v>
      </c>
      <c r="AQ154" s="116">
        <v>33180</v>
      </c>
      <c r="AR154" s="116">
        <v>32570</v>
      </c>
      <c r="AS154" s="116">
        <v>32180</v>
      </c>
      <c r="AT154" s="116">
        <v>32120</v>
      </c>
      <c r="AU154" s="116">
        <v>31580</v>
      </c>
      <c r="AV154" s="116">
        <v>32580</v>
      </c>
      <c r="AW154" s="116">
        <v>32130</v>
      </c>
      <c r="AX154" s="116">
        <v>31270</v>
      </c>
      <c r="AY154" s="116">
        <v>31250</v>
      </c>
      <c r="AZ154" s="116">
        <v>32170</v>
      </c>
      <c r="BA154" s="116">
        <v>32060</v>
      </c>
      <c r="BB154" s="116">
        <v>33000</v>
      </c>
      <c r="BC154" s="116">
        <v>34070</v>
      </c>
      <c r="BD154" s="116">
        <v>34210</v>
      </c>
      <c r="BE154" s="116">
        <v>34070</v>
      </c>
      <c r="BF154" s="116">
        <v>33790</v>
      </c>
    </row>
    <row r="155" spans="1:58" ht="12.75">
      <c r="A155" s="118" t="s">
        <v>361</v>
      </c>
      <c r="B155" s="11"/>
      <c r="C155" s="116">
        <v>26780</v>
      </c>
      <c r="D155" s="116">
        <v>27430</v>
      </c>
      <c r="E155" s="116">
        <v>28340</v>
      </c>
      <c r="F155" s="116">
        <v>28930</v>
      </c>
      <c r="G155" s="116">
        <v>29520</v>
      </c>
      <c r="H155" s="116">
        <v>30830</v>
      </c>
      <c r="I155" s="116">
        <v>31330</v>
      </c>
      <c r="J155" s="116">
        <v>32860</v>
      </c>
      <c r="K155" s="116">
        <v>33500</v>
      </c>
      <c r="L155" s="116">
        <v>33760</v>
      </c>
      <c r="M155" s="116">
        <v>32890</v>
      </c>
      <c r="N155" s="116">
        <v>31870</v>
      </c>
      <c r="O155" s="116">
        <v>31550</v>
      </c>
      <c r="P155" s="116">
        <v>31850</v>
      </c>
      <c r="Q155" s="116">
        <v>32200</v>
      </c>
      <c r="R155" s="116">
        <v>32750</v>
      </c>
      <c r="S155" s="116">
        <v>32560</v>
      </c>
      <c r="T155" s="116">
        <v>33560</v>
      </c>
      <c r="U155" s="116">
        <v>33150</v>
      </c>
      <c r="V155" s="116">
        <v>31910</v>
      </c>
      <c r="W155" s="116">
        <v>30920</v>
      </c>
      <c r="X155" s="116">
        <v>29990</v>
      </c>
      <c r="Y155" s="116">
        <v>28830</v>
      </c>
      <c r="Z155" s="116">
        <v>28990</v>
      </c>
      <c r="AA155" s="116">
        <v>28640</v>
      </c>
      <c r="AB155" s="116">
        <v>29720</v>
      </c>
      <c r="AC155" s="116">
        <v>30010</v>
      </c>
      <c r="AD155" s="116">
        <v>30470</v>
      </c>
      <c r="AE155" s="116">
        <v>31080</v>
      </c>
      <c r="AF155" s="116">
        <v>31770</v>
      </c>
      <c r="AG155" s="116">
        <v>31710</v>
      </c>
      <c r="AH155" s="116">
        <v>31730</v>
      </c>
      <c r="AI155" s="116">
        <v>31560</v>
      </c>
      <c r="AJ155" s="116">
        <v>30910</v>
      </c>
      <c r="AK155" s="116">
        <v>32110</v>
      </c>
      <c r="AL155" s="116">
        <v>33010</v>
      </c>
      <c r="AM155" s="116">
        <v>34320</v>
      </c>
      <c r="AN155" s="116">
        <v>34600</v>
      </c>
      <c r="AO155" s="116">
        <v>33740</v>
      </c>
      <c r="AP155" s="116">
        <v>33660</v>
      </c>
      <c r="AQ155" s="116">
        <v>33020</v>
      </c>
      <c r="AR155" s="116">
        <v>33090</v>
      </c>
      <c r="AS155" s="116">
        <v>32470</v>
      </c>
      <c r="AT155" s="116">
        <v>32080</v>
      </c>
      <c r="AU155" s="116">
        <v>32030</v>
      </c>
      <c r="AV155" s="116">
        <v>31490</v>
      </c>
      <c r="AW155" s="116">
        <v>32490</v>
      </c>
      <c r="AX155" s="116">
        <v>32040</v>
      </c>
      <c r="AY155" s="116">
        <v>31180</v>
      </c>
      <c r="AZ155" s="116">
        <v>31160</v>
      </c>
      <c r="BA155" s="116">
        <v>32080</v>
      </c>
      <c r="BB155" s="116">
        <v>31970</v>
      </c>
      <c r="BC155" s="116">
        <v>32910</v>
      </c>
      <c r="BD155" s="116">
        <v>33980</v>
      </c>
      <c r="BE155" s="116">
        <v>34110</v>
      </c>
      <c r="BF155" s="116">
        <v>33980</v>
      </c>
    </row>
    <row r="156" spans="1:58" ht="12.75">
      <c r="A156" s="118" t="s">
        <v>362</v>
      </c>
      <c r="B156" s="11"/>
      <c r="C156" s="116">
        <v>25610</v>
      </c>
      <c r="D156" s="116">
        <v>26660</v>
      </c>
      <c r="E156" s="116">
        <v>27310</v>
      </c>
      <c r="F156" s="116">
        <v>28220</v>
      </c>
      <c r="G156" s="116">
        <v>28810</v>
      </c>
      <c r="H156" s="116">
        <v>29410</v>
      </c>
      <c r="I156" s="116">
        <v>30720</v>
      </c>
      <c r="J156" s="116">
        <v>31210</v>
      </c>
      <c r="K156" s="116">
        <v>32740</v>
      </c>
      <c r="L156" s="116">
        <v>33390</v>
      </c>
      <c r="M156" s="116">
        <v>33640</v>
      </c>
      <c r="N156" s="116">
        <v>32770</v>
      </c>
      <c r="O156" s="116">
        <v>31760</v>
      </c>
      <c r="P156" s="116">
        <v>31440</v>
      </c>
      <c r="Q156" s="116">
        <v>31740</v>
      </c>
      <c r="R156" s="116">
        <v>32090</v>
      </c>
      <c r="S156" s="116">
        <v>32640</v>
      </c>
      <c r="T156" s="116">
        <v>32460</v>
      </c>
      <c r="U156" s="116">
        <v>33450</v>
      </c>
      <c r="V156" s="116">
        <v>33050</v>
      </c>
      <c r="W156" s="116">
        <v>31810</v>
      </c>
      <c r="X156" s="116">
        <v>30820</v>
      </c>
      <c r="Y156" s="116">
        <v>29890</v>
      </c>
      <c r="Z156" s="116">
        <v>28740</v>
      </c>
      <c r="AA156" s="116">
        <v>28900</v>
      </c>
      <c r="AB156" s="116">
        <v>28550</v>
      </c>
      <c r="AC156" s="116">
        <v>29630</v>
      </c>
      <c r="AD156" s="116">
        <v>29910</v>
      </c>
      <c r="AE156" s="116">
        <v>30370</v>
      </c>
      <c r="AF156" s="116">
        <v>30980</v>
      </c>
      <c r="AG156" s="116">
        <v>31670</v>
      </c>
      <c r="AH156" s="116">
        <v>31620</v>
      </c>
      <c r="AI156" s="116">
        <v>31640</v>
      </c>
      <c r="AJ156" s="116">
        <v>31470</v>
      </c>
      <c r="AK156" s="116">
        <v>30820</v>
      </c>
      <c r="AL156" s="116">
        <v>32020</v>
      </c>
      <c r="AM156" s="116">
        <v>32910</v>
      </c>
      <c r="AN156" s="116">
        <v>34230</v>
      </c>
      <c r="AO156" s="116">
        <v>34500</v>
      </c>
      <c r="AP156" s="116">
        <v>33640</v>
      </c>
      <c r="AQ156" s="116">
        <v>33570</v>
      </c>
      <c r="AR156" s="116">
        <v>32930</v>
      </c>
      <c r="AS156" s="116">
        <v>33000</v>
      </c>
      <c r="AT156" s="116">
        <v>32380</v>
      </c>
      <c r="AU156" s="116">
        <v>32000</v>
      </c>
      <c r="AV156" s="116">
        <v>31940</v>
      </c>
      <c r="AW156" s="116">
        <v>31400</v>
      </c>
      <c r="AX156" s="116">
        <v>32400</v>
      </c>
      <c r="AY156" s="116">
        <v>31950</v>
      </c>
      <c r="AZ156" s="116">
        <v>31090</v>
      </c>
      <c r="BA156" s="116">
        <v>31070</v>
      </c>
      <c r="BB156" s="116">
        <v>31990</v>
      </c>
      <c r="BC156" s="116">
        <v>31880</v>
      </c>
      <c r="BD156" s="116">
        <v>32820</v>
      </c>
      <c r="BE156" s="116">
        <v>33890</v>
      </c>
      <c r="BF156" s="116">
        <v>34020</v>
      </c>
    </row>
    <row r="157" spans="1:58" ht="12.75">
      <c r="A157" s="118" t="s">
        <v>363</v>
      </c>
      <c r="B157" s="11"/>
      <c r="C157" s="116">
        <v>25210</v>
      </c>
      <c r="D157" s="116">
        <v>25500</v>
      </c>
      <c r="E157" s="116">
        <v>26540</v>
      </c>
      <c r="F157" s="116">
        <v>27190</v>
      </c>
      <c r="G157" s="116">
        <v>28110</v>
      </c>
      <c r="H157" s="116">
        <v>28700</v>
      </c>
      <c r="I157" s="116">
        <v>29290</v>
      </c>
      <c r="J157" s="116">
        <v>30600</v>
      </c>
      <c r="K157" s="116">
        <v>31090</v>
      </c>
      <c r="L157" s="116">
        <v>32630</v>
      </c>
      <c r="M157" s="116">
        <v>33270</v>
      </c>
      <c r="N157" s="116">
        <v>33520</v>
      </c>
      <c r="O157" s="116">
        <v>32660</v>
      </c>
      <c r="P157" s="116">
        <v>31660</v>
      </c>
      <c r="Q157" s="116">
        <v>31340</v>
      </c>
      <c r="R157" s="116">
        <v>31640</v>
      </c>
      <c r="S157" s="116">
        <v>31990</v>
      </c>
      <c r="T157" s="116">
        <v>32540</v>
      </c>
      <c r="U157" s="116">
        <v>32350</v>
      </c>
      <c r="V157" s="116">
        <v>33350</v>
      </c>
      <c r="W157" s="116">
        <v>32940</v>
      </c>
      <c r="X157" s="116">
        <v>31710</v>
      </c>
      <c r="Y157" s="116">
        <v>30720</v>
      </c>
      <c r="Z157" s="116">
        <v>29800</v>
      </c>
      <c r="AA157" s="116">
        <v>28650</v>
      </c>
      <c r="AB157" s="116">
        <v>28810</v>
      </c>
      <c r="AC157" s="116">
        <v>28460</v>
      </c>
      <c r="AD157" s="116">
        <v>29540</v>
      </c>
      <c r="AE157" s="116">
        <v>29820</v>
      </c>
      <c r="AF157" s="116">
        <v>30280</v>
      </c>
      <c r="AG157" s="116">
        <v>30890</v>
      </c>
      <c r="AH157" s="116">
        <v>31580</v>
      </c>
      <c r="AI157" s="116">
        <v>31520</v>
      </c>
      <c r="AJ157" s="116">
        <v>31550</v>
      </c>
      <c r="AK157" s="116">
        <v>31380</v>
      </c>
      <c r="AL157" s="116">
        <v>30730</v>
      </c>
      <c r="AM157" s="116">
        <v>31930</v>
      </c>
      <c r="AN157" s="116">
        <v>32820</v>
      </c>
      <c r="AO157" s="116">
        <v>34140</v>
      </c>
      <c r="AP157" s="116">
        <v>34410</v>
      </c>
      <c r="AQ157" s="116">
        <v>33550</v>
      </c>
      <c r="AR157" s="116">
        <v>33480</v>
      </c>
      <c r="AS157" s="116">
        <v>32840</v>
      </c>
      <c r="AT157" s="116">
        <v>32910</v>
      </c>
      <c r="AU157" s="116">
        <v>32300</v>
      </c>
      <c r="AV157" s="116">
        <v>31910</v>
      </c>
      <c r="AW157" s="116">
        <v>31850</v>
      </c>
      <c r="AX157" s="116">
        <v>31320</v>
      </c>
      <c r="AY157" s="116">
        <v>32310</v>
      </c>
      <c r="AZ157" s="116">
        <v>31860</v>
      </c>
      <c r="BA157" s="116">
        <v>31000</v>
      </c>
      <c r="BB157" s="116">
        <v>30990</v>
      </c>
      <c r="BC157" s="116">
        <v>31910</v>
      </c>
      <c r="BD157" s="116">
        <v>31790</v>
      </c>
      <c r="BE157" s="116">
        <v>32730</v>
      </c>
      <c r="BF157" s="116">
        <v>33800</v>
      </c>
    </row>
    <row r="158" spans="1:58" ht="12.75">
      <c r="A158" s="118" t="s">
        <v>364</v>
      </c>
      <c r="B158" s="11"/>
      <c r="C158" s="116">
        <v>24770</v>
      </c>
      <c r="D158" s="116">
        <v>25100</v>
      </c>
      <c r="E158" s="116">
        <v>25380</v>
      </c>
      <c r="F158" s="116">
        <v>26430</v>
      </c>
      <c r="G158" s="116">
        <v>27080</v>
      </c>
      <c r="H158" s="116">
        <v>28000</v>
      </c>
      <c r="I158" s="116">
        <v>28590</v>
      </c>
      <c r="J158" s="116">
        <v>29190</v>
      </c>
      <c r="K158" s="116">
        <v>30490</v>
      </c>
      <c r="L158" s="116">
        <v>30990</v>
      </c>
      <c r="M158" s="116">
        <v>32510</v>
      </c>
      <c r="N158" s="116">
        <v>33160</v>
      </c>
      <c r="O158" s="116">
        <v>33410</v>
      </c>
      <c r="P158" s="116">
        <v>32550</v>
      </c>
      <c r="Q158" s="116">
        <v>31550</v>
      </c>
      <c r="R158" s="116">
        <v>31240</v>
      </c>
      <c r="S158" s="116">
        <v>31540</v>
      </c>
      <c r="T158" s="116">
        <v>31890</v>
      </c>
      <c r="U158" s="116">
        <v>32440</v>
      </c>
      <c r="V158" s="116">
        <v>32250</v>
      </c>
      <c r="W158" s="116">
        <v>33250</v>
      </c>
      <c r="X158" s="116">
        <v>32850</v>
      </c>
      <c r="Y158" s="116">
        <v>31610</v>
      </c>
      <c r="Z158" s="116">
        <v>30630</v>
      </c>
      <c r="AA158" s="116">
        <v>29710</v>
      </c>
      <c r="AB158" s="116">
        <v>28560</v>
      </c>
      <c r="AC158" s="116">
        <v>28720</v>
      </c>
      <c r="AD158" s="116">
        <v>28380</v>
      </c>
      <c r="AE158" s="116">
        <v>29450</v>
      </c>
      <c r="AF158" s="116">
        <v>29740</v>
      </c>
      <c r="AG158" s="116">
        <v>30200</v>
      </c>
      <c r="AH158" s="116">
        <v>30810</v>
      </c>
      <c r="AI158" s="116">
        <v>31490</v>
      </c>
      <c r="AJ158" s="116">
        <v>31440</v>
      </c>
      <c r="AK158" s="116">
        <v>31460</v>
      </c>
      <c r="AL158" s="116">
        <v>31290</v>
      </c>
      <c r="AM158" s="116">
        <v>30650</v>
      </c>
      <c r="AN158" s="116">
        <v>31840</v>
      </c>
      <c r="AO158" s="116">
        <v>32740</v>
      </c>
      <c r="AP158" s="116">
        <v>34050</v>
      </c>
      <c r="AQ158" s="116">
        <v>34320</v>
      </c>
      <c r="AR158" s="116">
        <v>33460</v>
      </c>
      <c r="AS158" s="116">
        <v>33390</v>
      </c>
      <c r="AT158" s="116">
        <v>32750</v>
      </c>
      <c r="AU158" s="116">
        <v>32820</v>
      </c>
      <c r="AV158" s="116">
        <v>32210</v>
      </c>
      <c r="AW158" s="116">
        <v>31830</v>
      </c>
      <c r="AX158" s="116">
        <v>31770</v>
      </c>
      <c r="AY158" s="116">
        <v>31240</v>
      </c>
      <c r="AZ158" s="116">
        <v>32230</v>
      </c>
      <c r="BA158" s="116">
        <v>31780</v>
      </c>
      <c r="BB158" s="116">
        <v>30930</v>
      </c>
      <c r="BC158" s="116">
        <v>30910</v>
      </c>
      <c r="BD158" s="116">
        <v>31830</v>
      </c>
      <c r="BE158" s="116">
        <v>31710</v>
      </c>
      <c r="BF158" s="116">
        <v>32650</v>
      </c>
    </row>
    <row r="159" spans="1:58" ht="12.75">
      <c r="A159" s="118" t="s">
        <v>365</v>
      </c>
      <c r="B159" s="11"/>
      <c r="C159" s="116">
        <v>24930</v>
      </c>
      <c r="D159" s="116">
        <v>24670</v>
      </c>
      <c r="E159" s="116">
        <v>24990</v>
      </c>
      <c r="F159" s="116">
        <v>25280</v>
      </c>
      <c r="G159" s="116">
        <v>26330</v>
      </c>
      <c r="H159" s="116">
        <v>26990</v>
      </c>
      <c r="I159" s="116">
        <v>27900</v>
      </c>
      <c r="J159" s="116">
        <v>28500</v>
      </c>
      <c r="K159" s="116">
        <v>29090</v>
      </c>
      <c r="L159" s="116">
        <v>30390</v>
      </c>
      <c r="M159" s="116">
        <v>30880</v>
      </c>
      <c r="N159" s="116">
        <v>32410</v>
      </c>
      <c r="O159" s="116">
        <v>33050</v>
      </c>
      <c r="P159" s="116">
        <v>33310</v>
      </c>
      <c r="Q159" s="116">
        <v>32450</v>
      </c>
      <c r="R159" s="116">
        <v>31460</v>
      </c>
      <c r="S159" s="116">
        <v>31140</v>
      </c>
      <c r="T159" s="116">
        <v>31440</v>
      </c>
      <c r="U159" s="116">
        <v>31800</v>
      </c>
      <c r="V159" s="116">
        <v>32340</v>
      </c>
      <c r="W159" s="116">
        <v>32160</v>
      </c>
      <c r="X159" s="116">
        <v>33160</v>
      </c>
      <c r="Y159" s="116">
        <v>32760</v>
      </c>
      <c r="Z159" s="116">
        <v>31530</v>
      </c>
      <c r="AA159" s="116">
        <v>30550</v>
      </c>
      <c r="AB159" s="116">
        <v>29630</v>
      </c>
      <c r="AC159" s="116">
        <v>28490</v>
      </c>
      <c r="AD159" s="116">
        <v>28650</v>
      </c>
      <c r="AE159" s="116">
        <v>28310</v>
      </c>
      <c r="AF159" s="116">
        <v>29380</v>
      </c>
      <c r="AG159" s="116">
        <v>29660</v>
      </c>
      <c r="AH159" s="116">
        <v>30120</v>
      </c>
      <c r="AI159" s="116">
        <v>30730</v>
      </c>
      <c r="AJ159" s="116">
        <v>31420</v>
      </c>
      <c r="AK159" s="116">
        <v>31360</v>
      </c>
      <c r="AL159" s="116">
        <v>31390</v>
      </c>
      <c r="AM159" s="116">
        <v>31220</v>
      </c>
      <c r="AN159" s="116">
        <v>30570</v>
      </c>
      <c r="AO159" s="116">
        <v>31770</v>
      </c>
      <c r="AP159" s="116">
        <v>32660</v>
      </c>
      <c r="AQ159" s="116">
        <v>33970</v>
      </c>
      <c r="AR159" s="116">
        <v>34240</v>
      </c>
      <c r="AS159" s="116">
        <v>33390</v>
      </c>
      <c r="AT159" s="116">
        <v>33310</v>
      </c>
      <c r="AU159" s="116">
        <v>32680</v>
      </c>
      <c r="AV159" s="116">
        <v>32750</v>
      </c>
      <c r="AW159" s="116">
        <v>32140</v>
      </c>
      <c r="AX159" s="116">
        <v>31750</v>
      </c>
      <c r="AY159" s="116">
        <v>31700</v>
      </c>
      <c r="AZ159" s="116">
        <v>31160</v>
      </c>
      <c r="BA159" s="116">
        <v>32160</v>
      </c>
      <c r="BB159" s="116">
        <v>31710</v>
      </c>
      <c r="BC159" s="116">
        <v>30860</v>
      </c>
      <c r="BD159" s="116">
        <v>30840</v>
      </c>
      <c r="BE159" s="116">
        <v>31750</v>
      </c>
      <c r="BF159" s="116">
        <v>31640</v>
      </c>
    </row>
    <row r="160" spans="1:58" ht="12.75">
      <c r="A160" s="118" t="s">
        <v>366</v>
      </c>
      <c r="B160" s="11"/>
      <c r="C160" s="116">
        <v>24090</v>
      </c>
      <c r="D160" s="116">
        <v>24830</v>
      </c>
      <c r="E160" s="116">
        <v>24570</v>
      </c>
      <c r="F160" s="116">
        <v>24900</v>
      </c>
      <c r="G160" s="116">
        <v>25190</v>
      </c>
      <c r="H160" s="116">
        <v>26240</v>
      </c>
      <c r="I160" s="116">
        <v>26890</v>
      </c>
      <c r="J160" s="116">
        <v>27810</v>
      </c>
      <c r="K160" s="116">
        <v>28400</v>
      </c>
      <c r="L160" s="116">
        <v>28990</v>
      </c>
      <c r="M160" s="116">
        <v>30290</v>
      </c>
      <c r="N160" s="116">
        <v>30790</v>
      </c>
      <c r="O160" s="116">
        <v>32310</v>
      </c>
      <c r="P160" s="116">
        <v>32950</v>
      </c>
      <c r="Q160" s="116">
        <v>33210</v>
      </c>
      <c r="R160" s="116">
        <v>32360</v>
      </c>
      <c r="S160" s="116">
        <v>31360</v>
      </c>
      <c r="T160" s="116">
        <v>31050</v>
      </c>
      <c r="U160" s="116">
        <v>31350</v>
      </c>
      <c r="V160" s="116">
        <v>31710</v>
      </c>
      <c r="W160" s="116">
        <v>32260</v>
      </c>
      <c r="X160" s="116">
        <v>32080</v>
      </c>
      <c r="Y160" s="116">
        <v>33070</v>
      </c>
      <c r="Z160" s="116">
        <v>32670</v>
      </c>
      <c r="AA160" s="116">
        <v>31440</v>
      </c>
      <c r="AB160" s="116">
        <v>30470</v>
      </c>
      <c r="AC160" s="116">
        <v>29560</v>
      </c>
      <c r="AD160" s="116">
        <v>28420</v>
      </c>
      <c r="AE160" s="116">
        <v>28580</v>
      </c>
      <c r="AF160" s="116">
        <v>28240</v>
      </c>
      <c r="AG160" s="116">
        <v>29310</v>
      </c>
      <c r="AH160" s="116">
        <v>29590</v>
      </c>
      <c r="AI160" s="116">
        <v>30050</v>
      </c>
      <c r="AJ160" s="116">
        <v>30660</v>
      </c>
      <c r="AK160" s="116">
        <v>31340</v>
      </c>
      <c r="AL160" s="116">
        <v>31290</v>
      </c>
      <c r="AM160" s="116">
        <v>31310</v>
      </c>
      <c r="AN160" s="116">
        <v>31150</v>
      </c>
      <c r="AO160" s="116">
        <v>30500</v>
      </c>
      <c r="AP160" s="116">
        <v>31700</v>
      </c>
      <c r="AQ160" s="116">
        <v>32590</v>
      </c>
      <c r="AR160" s="116">
        <v>33890</v>
      </c>
      <c r="AS160" s="116">
        <v>34170</v>
      </c>
      <c r="AT160" s="116">
        <v>33310</v>
      </c>
      <c r="AU160" s="116">
        <v>33240</v>
      </c>
      <c r="AV160" s="116">
        <v>32610</v>
      </c>
      <c r="AW160" s="116">
        <v>32680</v>
      </c>
      <c r="AX160" s="116">
        <v>32070</v>
      </c>
      <c r="AY160" s="116">
        <v>31690</v>
      </c>
      <c r="AZ160" s="116">
        <v>31630</v>
      </c>
      <c r="BA160" s="116">
        <v>31100</v>
      </c>
      <c r="BB160" s="116">
        <v>32090</v>
      </c>
      <c r="BC160" s="116">
        <v>31640</v>
      </c>
      <c r="BD160" s="116">
        <v>30790</v>
      </c>
      <c r="BE160" s="116">
        <v>30770</v>
      </c>
      <c r="BF160" s="116">
        <v>31690</v>
      </c>
    </row>
    <row r="161" spans="1:58" ht="12.75">
      <c r="A161" s="118" t="s">
        <v>367</v>
      </c>
      <c r="B161" s="11"/>
      <c r="C161" s="116">
        <v>24480</v>
      </c>
      <c r="D161" s="116">
        <v>24000</v>
      </c>
      <c r="E161" s="116">
        <v>24730</v>
      </c>
      <c r="F161" s="116">
        <v>24480</v>
      </c>
      <c r="G161" s="116">
        <v>24810</v>
      </c>
      <c r="H161" s="116">
        <v>25100</v>
      </c>
      <c r="I161" s="116">
        <v>26150</v>
      </c>
      <c r="J161" s="116">
        <v>26800</v>
      </c>
      <c r="K161" s="116">
        <v>27720</v>
      </c>
      <c r="L161" s="116">
        <v>28310</v>
      </c>
      <c r="M161" s="116">
        <v>28900</v>
      </c>
      <c r="N161" s="116">
        <v>30200</v>
      </c>
      <c r="O161" s="116">
        <v>30690</v>
      </c>
      <c r="P161" s="116">
        <v>32210</v>
      </c>
      <c r="Q161" s="116">
        <v>32850</v>
      </c>
      <c r="R161" s="116">
        <v>33110</v>
      </c>
      <c r="S161" s="116">
        <v>32260</v>
      </c>
      <c r="T161" s="116">
        <v>31280</v>
      </c>
      <c r="U161" s="116">
        <v>30970</v>
      </c>
      <c r="V161" s="116">
        <v>31270</v>
      </c>
      <c r="W161" s="116">
        <v>31620</v>
      </c>
      <c r="X161" s="116">
        <v>32170</v>
      </c>
      <c r="Y161" s="116">
        <v>31990</v>
      </c>
      <c r="Z161" s="116">
        <v>32980</v>
      </c>
      <c r="AA161" s="116">
        <v>32590</v>
      </c>
      <c r="AB161" s="116">
        <v>31370</v>
      </c>
      <c r="AC161" s="116">
        <v>30400</v>
      </c>
      <c r="AD161" s="116">
        <v>29490</v>
      </c>
      <c r="AE161" s="116">
        <v>28350</v>
      </c>
      <c r="AF161" s="116">
        <v>28510</v>
      </c>
      <c r="AG161" s="116">
        <v>28170</v>
      </c>
      <c r="AH161" s="116">
        <v>29240</v>
      </c>
      <c r="AI161" s="116">
        <v>29530</v>
      </c>
      <c r="AJ161" s="116">
        <v>29980</v>
      </c>
      <c r="AK161" s="116">
        <v>30590</v>
      </c>
      <c r="AL161" s="116">
        <v>31280</v>
      </c>
      <c r="AM161" s="116">
        <v>31220</v>
      </c>
      <c r="AN161" s="116">
        <v>31250</v>
      </c>
      <c r="AO161" s="116">
        <v>31080</v>
      </c>
      <c r="AP161" s="116">
        <v>30440</v>
      </c>
      <c r="AQ161" s="116">
        <v>31630</v>
      </c>
      <c r="AR161" s="116">
        <v>32520</v>
      </c>
      <c r="AS161" s="116">
        <v>33820</v>
      </c>
      <c r="AT161" s="116">
        <v>34100</v>
      </c>
      <c r="AU161" s="116">
        <v>33240</v>
      </c>
      <c r="AV161" s="116">
        <v>33170</v>
      </c>
      <c r="AW161" s="116">
        <v>32540</v>
      </c>
      <c r="AX161" s="116">
        <v>32610</v>
      </c>
      <c r="AY161" s="116">
        <v>32010</v>
      </c>
      <c r="AZ161" s="116">
        <v>31620</v>
      </c>
      <c r="BA161" s="116">
        <v>31570</v>
      </c>
      <c r="BB161" s="116">
        <v>31040</v>
      </c>
      <c r="BC161" s="116">
        <v>32030</v>
      </c>
      <c r="BD161" s="116">
        <v>31580</v>
      </c>
      <c r="BE161" s="116">
        <v>30730</v>
      </c>
      <c r="BF161" s="116">
        <v>30710</v>
      </c>
    </row>
    <row r="162" spans="1:58" ht="12.75">
      <c r="A162" s="118" t="s">
        <v>368</v>
      </c>
      <c r="B162" s="11"/>
      <c r="C162" s="116">
        <v>24660</v>
      </c>
      <c r="D162" s="116">
        <v>24390</v>
      </c>
      <c r="E162" s="116">
        <v>23910</v>
      </c>
      <c r="F162" s="116">
        <v>24640</v>
      </c>
      <c r="G162" s="116">
        <v>24400</v>
      </c>
      <c r="H162" s="116">
        <v>24730</v>
      </c>
      <c r="I162" s="116">
        <v>25020</v>
      </c>
      <c r="J162" s="116">
        <v>26060</v>
      </c>
      <c r="K162" s="116">
        <v>26720</v>
      </c>
      <c r="L162" s="116">
        <v>27630</v>
      </c>
      <c r="M162" s="116">
        <v>28220</v>
      </c>
      <c r="N162" s="116">
        <v>28810</v>
      </c>
      <c r="O162" s="116">
        <v>30110</v>
      </c>
      <c r="P162" s="116">
        <v>30600</v>
      </c>
      <c r="Q162" s="116">
        <v>32120</v>
      </c>
      <c r="R162" s="116">
        <v>32760</v>
      </c>
      <c r="S162" s="116">
        <v>33020</v>
      </c>
      <c r="T162" s="116">
        <v>32180</v>
      </c>
      <c r="U162" s="116">
        <v>31190</v>
      </c>
      <c r="V162" s="116">
        <v>30890</v>
      </c>
      <c r="W162" s="116">
        <v>31190</v>
      </c>
      <c r="X162" s="116">
        <v>31540</v>
      </c>
      <c r="Y162" s="116">
        <v>32090</v>
      </c>
      <c r="Z162" s="116">
        <v>31910</v>
      </c>
      <c r="AA162" s="116">
        <v>32900</v>
      </c>
      <c r="AB162" s="116">
        <v>32510</v>
      </c>
      <c r="AC162" s="116">
        <v>31290</v>
      </c>
      <c r="AD162" s="116">
        <v>30330</v>
      </c>
      <c r="AE162" s="116">
        <v>29420</v>
      </c>
      <c r="AF162" s="116">
        <v>28290</v>
      </c>
      <c r="AG162" s="116">
        <v>28450</v>
      </c>
      <c r="AH162" s="116">
        <v>28110</v>
      </c>
      <c r="AI162" s="116">
        <v>29180</v>
      </c>
      <c r="AJ162" s="116">
        <v>29470</v>
      </c>
      <c r="AK162" s="116">
        <v>29920</v>
      </c>
      <c r="AL162" s="116">
        <v>30530</v>
      </c>
      <c r="AM162" s="116">
        <v>31210</v>
      </c>
      <c r="AN162" s="116">
        <v>31160</v>
      </c>
      <c r="AO162" s="116">
        <v>31180</v>
      </c>
      <c r="AP162" s="116">
        <v>31020</v>
      </c>
      <c r="AQ162" s="116">
        <v>30380</v>
      </c>
      <c r="AR162" s="116">
        <v>31570</v>
      </c>
      <c r="AS162" s="116">
        <v>32450</v>
      </c>
      <c r="AT162" s="116">
        <v>33760</v>
      </c>
      <c r="AU162" s="116">
        <v>34030</v>
      </c>
      <c r="AV162" s="116">
        <v>33180</v>
      </c>
      <c r="AW162" s="116">
        <v>33110</v>
      </c>
      <c r="AX162" s="116">
        <v>32480</v>
      </c>
      <c r="AY162" s="116">
        <v>32550</v>
      </c>
      <c r="AZ162" s="116">
        <v>31950</v>
      </c>
      <c r="BA162" s="116">
        <v>31560</v>
      </c>
      <c r="BB162" s="116">
        <v>31510</v>
      </c>
      <c r="BC162" s="116">
        <v>30980</v>
      </c>
      <c r="BD162" s="116">
        <v>31970</v>
      </c>
      <c r="BE162" s="116">
        <v>31520</v>
      </c>
      <c r="BF162" s="116">
        <v>30670</v>
      </c>
    </row>
    <row r="163" spans="1:58" ht="12.75">
      <c r="A163" s="118" t="s">
        <v>369</v>
      </c>
      <c r="B163" s="11"/>
      <c r="C163" s="116">
        <v>20800</v>
      </c>
      <c r="D163" s="116">
        <v>24570</v>
      </c>
      <c r="E163" s="116">
        <v>24300</v>
      </c>
      <c r="F163" s="116">
        <v>23820</v>
      </c>
      <c r="G163" s="116">
        <v>24560</v>
      </c>
      <c r="H163" s="116">
        <v>24320</v>
      </c>
      <c r="I163" s="116">
        <v>24650</v>
      </c>
      <c r="J163" s="116">
        <v>24940</v>
      </c>
      <c r="K163" s="116">
        <v>25980</v>
      </c>
      <c r="L163" s="116">
        <v>26640</v>
      </c>
      <c r="M163" s="116">
        <v>27550</v>
      </c>
      <c r="N163" s="116">
        <v>28140</v>
      </c>
      <c r="O163" s="116">
        <v>28730</v>
      </c>
      <c r="P163" s="116">
        <v>30020</v>
      </c>
      <c r="Q163" s="116">
        <v>30510</v>
      </c>
      <c r="R163" s="116">
        <v>32020</v>
      </c>
      <c r="S163" s="116">
        <v>32660</v>
      </c>
      <c r="T163" s="116">
        <v>32920</v>
      </c>
      <c r="U163" s="116">
        <v>32090</v>
      </c>
      <c r="V163" s="116">
        <v>31110</v>
      </c>
      <c r="W163" s="116">
        <v>30810</v>
      </c>
      <c r="X163" s="116">
        <v>31110</v>
      </c>
      <c r="Y163" s="116">
        <v>31460</v>
      </c>
      <c r="Z163" s="116">
        <v>32010</v>
      </c>
      <c r="AA163" s="116">
        <v>31840</v>
      </c>
      <c r="AB163" s="116">
        <v>32820</v>
      </c>
      <c r="AC163" s="116">
        <v>32430</v>
      </c>
      <c r="AD163" s="116">
        <v>31220</v>
      </c>
      <c r="AE163" s="116">
        <v>30260</v>
      </c>
      <c r="AF163" s="116">
        <v>29360</v>
      </c>
      <c r="AG163" s="116">
        <v>28230</v>
      </c>
      <c r="AH163" s="116">
        <v>28400</v>
      </c>
      <c r="AI163" s="116">
        <v>28060</v>
      </c>
      <c r="AJ163" s="116">
        <v>29120</v>
      </c>
      <c r="AK163" s="116">
        <v>29410</v>
      </c>
      <c r="AL163" s="116">
        <v>29860</v>
      </c>
      <c r="AM163" s="116">
        <v>30470</v>
      </c>
      <c r="AN163" s="116">
        <v>31150</v>
      </c>
      <c r="AO163" s="116">
        <v>31100</v>
      </c>
      <c r="AP163" s="116">
        <v>31120</v>
      </c>
      <c r="AQ163" s="116">
        <v>30960</v>
      </c>
      <c r="AR163" s="116">
        <v>30320</v>
      </c>
      <c r="AS163" s="116">
        <v>31510</v>
      </c>
      <c r="AT163" s="116">
        <v>32390</v>
      </c>
      <c r="AU163" s="116">
        <v>33690</v>
      </c>
      <c r="AV163" s="116">
        <v>33960</v>
      </c>
      <c r="AW163" s="116">
        <v>33120</v>
      </c>
      <c r="AX163" s="116">
        <v>33050</v>
      </c>
      <c r="AY163" s="116">
        <v>32420</v>
      </c>
      <c r="AZ163" s="116">
        <v>32490</v>
      </c>
      <c r="BA163" s="116">
        <v>31890</v>
      </c>
      <c r="BB163" s="116">
        <v>31510</v>
      </c>
      <c r="BC163" s="116">
        <v>31450</v>
      </c>
      <c r="BD163" s="116">
        <v>30930</v>
      </c>
      <c r="BE163" s="116">
        <v>31910</v>
      </c>
      <c r="BF163" s="116">
        <v>31470</v>
      </c>
    </row>
    <row r="164" spans="1:58" ht="12.75">
      <c r="A164" s="118" t="s">
        <v>370</v>
      </c>
      <c r="B164" s="11"/>
      <c r="C164" s="116">
        <v>19700</v>
      </c>
      <c r="D164" s="116">
        <v>20730</v>
      </c>
      <c r="E164" s="116">
        <v>24470</v>
      </c>
      <c r="F164" s="116">
        <v>24200</v>
      </c>
      <c r="G164" s="116">
        <v>23740</v>
      </c>
      <c r="H164" s="116">
        <v>24470</v>
      </c>
      <c r="I164" s="116">
        <v>24230</v>
      </c>
      <c r="J164" s="116">
        <v>24560</v>
      </c>
      <c r="K164" s="116">
        <v>24860</v>
      </c>
      <c r="L164" s="116">
        <v>25900</v>
      </c>
      <c r="M164" s="116">
        <v>26550</v>
      </c>
      <c r="N164" s="116">
        <v>27460</v>
      </c>
      <c r="O164" s="116">
        <v>28050</v>
      </c>
      <c r="P164" s="116">
        <v>28640</v>
      </c>
      <c r="Q164" s="116">
        <v>29920</v>
      </c>
      <c r="R164" s="116">
        <v>30420</v>
      </c>
      <c r="S164" s="116">
        <v>31930</v>
      </c>
      <c r="T164" s="116">
        <v>32570</v>
      </c>
      <c r="U164" s="116">
        <v>32830</v>
      </c>
      <c r="V164" s="116">
        <v>32000</v>
      </c>
      <c r="W164" s="116">
        <v>31030</v>
      </c>
      <c r="X164" s="116">
        <v>30730</v>
      </c>
      <c r="Y164" s="116">
        <v>31030</v>
      </c>
      <c r="Z164" s="116">
        <v>31380</v>
      </c>
      <c r="AA164" s="116">
        <v>31930</v>
      </c>
      <c r="AB164" s="116">
        <v>31760</v>
      </c>
      <c r="AC164" s="116">
        <v>32740</v>
      </c>
      <c r="AD164" s="116">
        <v>32350</v>
      </c>
      <c r="AE164" s="116">
        <v>31150</v>
      </c>
      <c r="AF164" s="116">
        <v>30190</v>
      </c>
      <c r="AG164" s="116">
        <v>29290</v>
      </c>
      <c r="AH164" s="116">
        <v>28170</v>
      </c>
      <c r="AI164" s="116">
        <v>28340</v>
      </c>
      <c r="AJ164" s="116">
        <v>28000</v>
      </c>
      <c r="AK164" s="116">
        <v>29060</v>
      </c>
      <c r="AL164" s="116">
        <v>29350</v>
      </c>
      <c r="AM164" s="116">
        <v>29800</v>
      </c>
      <c r="AN164" s="116">
        <v>30410</v>
      </c>
      <c r="AO164" s="116">
        <v>31090</v>
      </c>
      <c r="AP164" s="116">
        <v>31040</v>
      </c>
      <c r="AQ164" s="116">
        <v>31060</v>
      </c>
      <c r="AR164" s="116">
        <v>30900</v>
      </c>
      <c r="AS164" s="116">
        <v>30270</v>
      </c>
      <c r="AT164" s="116">
        <v>31450</v>
      </c>
      <c r="AU164" s="116">
        <v>32330</v>
      </c>
      <c r="AV164" s="116">
        <v>33620</v>
      </c>
      <c r="AW164" s="116">
        <v>33890</v>
      </c>
      <c r="AX164" s="116">
        <v>33050</v>
      </c>
      <c r="AY164" s="116">
        <v>32980</v>
      </c>
      <c r="AZ164" s="116">
        <v>32360</v>
      </c>
      <c r="BA164" s="116">
        <v>32430</v>
      </c>
      <c r="BB164" s="116">
        <v>31830</v>
      </c>
      <c r="BC164" s="116">
        <v>31450</v>
      </c>
      <c r="BD164" s="116">
        <v>31390</v>
      </c>
      <c r="BE164" s="116">
        <v>30870</v>
      </c>
      <c r="BF164" s="116">
        <v>31850</v>
      </c>
    </row>
    <row r="165" spans="1:58" ht="12.75">
      <c r="A165" s="118" t="s">
        <v>371</v>
      </c>
      <c r="B165" s="11"/>
      <c r="C165" s="116">
        <v>18680</v>
      </c>
      <c r="D165" s="116">
        <v>19610</v>
      </c>
      <c r="E165" s="116">
        <v>20640</v>
      </c>
      <c r="F165" s="116">
        <v>24360</v>
      </c>
      <c r="G165" s="116">
        <v>24100</v>
      </c>
      <c r="H165" s="116">
        <v>23640</v>
      </c>
      <c r="I165" s="116">
        <v>24370</v>
      </c>
      <c r="J165" s="116">
        <v>24140</v>
      </c>
      <c r="K165" s="116">
        <v>24470</v>
      </c>
      <c r="L165" s="116">
        <v>24770</v>
      </c>
      <c r="M165" s="116">
        <v>25800</v>
      </c>
      <c r="N165" s="116">
        <v>26460</v>
      </c>
      <c r="O165" s="116">
        <v>27360</v>
      </c>
      <c r="P165" s="116">
        <v>27950</v>
      </c>
      <c r="Q165" s="116">
        <v>28540</v>
      </c>
      <c r="R165" s="116">
        <v>29820</v>
      </c>
      <c r="S165" s="116">
        <v>30320</v>
      </c>
      <c r="T165" s="116">
        <v>31820</v>
      </c>
      <c r="U165" s="116">
        <v>32460</v>
      </c>
      <c r="V165" s="116">
        <v>32720</v>
      </c>
      <c r="W165" s="116">
        <v>31900</v>
      </c>
      <c r="X165" s="116">
        <v>30930</v>
      </c>
      <c r="Y165" s="116">
        <v>30640</v>
      </c>
      <c r="Z165" s="116">
        <v>30940</v>
      </c>
      <c r="AA165" s="116">
        <v>31290</v>
      </c>
      <c r="AB165" s="116">
        <v>31840</v>
      </c>
      <c r="AC165" s="116">
        <v>31670</v>
      </c>
      <c r="AD165" s="116">
        <v>32650</v>
      </c>
      <c r="AE165" s="116">
        <v>32270</v>
      </c>
      <c r="AF165" s="116">
        <v>31070</v>
      </c>
      <c r="AG165" s="116">
        <v>30120</v>
      </c>
      <c r="AH165" s="116">
        <v>29220</v>
      </c>
      <c r="AI165" s="116">
        <v>28110</v>
      </c>
      <c r="AJ165" s="116">
        <v>28270</v>
      </c>
      <c r="AK165" s="116">
        <v>27940</v>
      </c>
      <c r="AL165" s="116">
        <v>29000</v>
      </c>
      <c r="AM165" s="116">
        <v>29280</v>
      </c>
      <c r="AN165" s="116">
        <v>29730</v>
      </c>
      <c r="AO165" s="116">
        <v>30340</v>
      </c>
      <c r="AP165" s="116">
        <v>31010</v>
      </c>
      <c r="AQ165" s="116">
        <v>30970</v>
      </c>
      <c r="AR165" s="116">
        <v>30990</v>
      </c>
      <c r="AS165" s="116">
        <v>30830</v>
      </c>
      <c r="AT165" s="116">
        <v>30200</v>
      </c>
      <c r="AU165" s="116">
        <v>31380</v>
      </c>
      <c r="AV165" s="116">
        <v>32260</v>
      </c>
      <c r="AW165" s="116">
        <v>33540</v>
      </c>
      <c r="AX165" s="116">
        <v>33820</v>
      </c>
      <c r="AY165" s="116">
        <v>32980</v>
      </c>
      <c r="AZ165" s="116">
        <v>32910</v>
      </c>
      <c r="BA165" s="116">
        <v>32290</v>
      </c>
      <c r="BB165" s="116">
        <v>32350</v>
      </c>
      <c r="BC165" s="116">
        <v>31760</v>
      </c>
      <c r="BD165" s="116">
        <v>31380</v>
      </c>
      <c r="BE165" s="116">
        <v>31330</v>
      </c>
      <c r="BF165" s="116">
        <v>30800</v>
      </c>
    </row>
    <row r="166" spans="1:58" ht="12.75">
      <c r="A166" s="118" t="s">
        <v>372</v>
      </c>
      <c r="B166" s="11"/>
      <c r="C166" s="116">
        <v>16840</v>
      </c>
      <c r="D166" s="116">
        <v>18600</v>
      </c>
      <c r="E166" s="116">
        <v>19520</v>
      </c>
      <c r="F166" s="116">
        <v>20550</v>
      </c>
      <c r="G166" s="116">
        <v>24250</v>
      </c>
      <c r="H166" s="116">
        <v>23990</v>
      </c>
      <c r="I166" s="116">
        <v>23540</v>
      </c>
      <c r="J166" s="116">
        <v>24270</v>
      </c>
      <c r="K166" s="116">
        <v>24040</v>
      </c>
      <c r="L166" s="116">
        <v>24370</v>
      </c>
      <c r="M166" s="116">
        <v>24670</v>
      </c>
      <c r="N166" s="116">
        <v>25700</v>
      </c>
      <c r="O166" s="116">
        <v>26350</v>
      </c>
      <c r="P166" s="116">
        <v>27260</v>
      </c>
      <c r="Q166" s="116">
        <v>27840</v>
      </c>
      <c r="R166" s="116">
        <v>28430</v>
      </c>
      <c r="S166" s="116">
        <v>29710</v>
      </c>
      <c r="T166" s="116">
        <v>30210</v>
      </c>
      <c r="U166" s="116">
        <v>31700</v>
      </c>
      <c r="V166" s="116">
        <v>32340</v>
      </c>
      <c r="W166" s="116">
        <v>32610</v>
      </c>
      <c r="X166" s="116">
        <v>31790</v>
      </c>
      <c r="Y166" s="116">
        <v>30830</v>
      </c>
      <c r="Z166" s="116">
        <v>30540</v>
      </c>
      <c r="AA166" s="116">
        <v>30840</v>
      </c>
      <c r="AB166" s="116">
        <v>31190</v>
      </c>
      <c r="AC166" s="116">
        <v>31740</v>
      </c>
      <c r="AD166" s="116">
        <v>31570</v>
      </c>
      <c r="AE166" s="116">
        <v>32550</v>
      </c>
      <c r="AF166" s="116">
        <v>32170</v>
      </c>
      <c r="AG166" s="116">
        <v>30980</v>
      </c>
      <c r="AH166" s="116">
        <v>30030</v>
      </c>
      <c r="AI166" s="116">
        <v>29140</v>
      </c>
      <c r="AJ166" s="116">
        <v>28030</v>
      </c>
      <c r="AK166" s="116">
        <v>28190</v>
      </c>
      <c r="AL166" s="116">
        <v>27860</v>
      </c>
      <c r="AM166" s="116">
        <v>28920</v>
      </c>
      <c r="AN166" s="116">
        <v>29200</v>
      </c>
      <c r="AO166" s="116">
        <v>29660</v>
      </c>
      <c r="AP166" s="116">
        <v>30260</v>
      </c>
      <c r="AQ166" s="116">
        <v>30930</v>
      </c>
      <c r="AR166" s="116">
        <v>30890</v>
      </c>
      <c r="AS166" s="116">
        <v>30910</v>
      </c>
      <c r="AT166" s="116">
        <v>30750</v>
      </c>
      <c r="AU166" s="116">
        <v>30120</v>
      </c>
      <c r="AV166" s="116">
        <v>31300</v>
      </c>
      <c r="AW166" s="116">
        <v>32170</v>
      </c>
      <c r="AX166" s="116">
        <v>33460</v>
      </c>
      <c r="AY166" s="116">
        <v>33730</v>
      </c>
      <c r="AZ166" s="116">
        <v>32890</v>
      </c>
      <c r="BA166" s="116">
        <v>32830</v>
      </c>
      <c r="BB166" s="116">
        <v>32200</v>
      </c>
      <c r="BC166" s="116">
        <v>32270</v>
      </c>
      <c r="BD166" s="116">
        <v>31680</v>
      </c>
      <c r="BE166" s="116">
        <v>31300</v>
      </c>
      <c r="BF166" s="116">
        <v>31250</v>
      </c>
    </row>
    <row r="167" spans="1:58" ht="12.75">
      <c r="A167" s="118" t="s">
        <v>373</v>
      </c>
      <c r="B167" s="11"/>
      <c r="C167" s="116">
        <v>18730</v>
      </c>
      <c r="D167" s="116">
        <v>16760</v>
      </c>
      <c r="E167" s="116">
        <v>18500</v>
      </c>
      <c r="F167" s="116">
        <v>19430</v>
      </c>
      <c r="G167" s="116">
        <v>20440</v>
      </c>
      <c r="H167" s="116">
        <v>24120</v>
      </c>
      <c r="I167" s="116">
        <v>23880</v>
      </c>
      <c r="J167" s="116">
        <v>23430</v>
      </c>
      <c r="K167" s="116">
        <v>24160</v>
      </c>
      <c r="L167" s="116">
        <v>23930</v>
      </c>
      <c r="M167" s="116">
        <v>24260</v>
      </c>
      <c r="N167" s="116">
        <v>24560</v>
      </c>
      <c r="O167" s="116">
        <v>25590</v>
      </c>
      <c r="P167" s="116">
        <v>26240</v>
      </c>
      <c r="Q167" s="116">
        <v>27140</v>
      </c>
      <c r="R167" s="116">
        <v>27730</v>
      </c>
      <c r="S167" s="116">
        <v>28320</v>
      </c>
      <c r="T167" s="116">
        <v>29590</v>
      </c>
      <c r="U167" s="116">
        <v>30080</v>
      </c>
      <c r="V167" s="116">
        <v>31580</v>
      </c>
      <c r="W167" s="116">
        <v>32210</v>
      </c>
      <c r="X167" s="116">
        <v>32480</v>
      </c>
      <c r="Y167" s="116">
        <v>31660</v>
      </c>
      <c r="Z167" s="116">
        <v>30710</v>
      </c>
      <c r="AA167" s="116">
        <v>30420</v>
      </c>
      <c r="AB167" s="116">
        <v>30730</v>
      </c>
      <c r="AC167" s="116">
        <v>31080</v>
      </c>
      <c r="AD167" s="116">
        <v>31620</v>
      </c>
      <c r="AE167" s="116">
        <v>31460</v>
      </c>
      <c r="AF167" s="116">
        <v>32440</v>
      </c>
      <c r="AG167" s="116">
        <v>32060</v>
      </c>
      <c r="AH167" s="116">
        <v>30870</v>
      </c>
      <c r="AI167" s="116">
        <v>29940</v>
      </c>
      <c r="AJ167" s="116">
        <v>29050</v>
      </c>
      <c r="AK167" s="116">
        <v>27950</v>
      </c>
      <c r="AL167" s="116">
        <v>28110</v>
      </c>
      <c r="AM167" s="116">
        <v>27780</v>
      </c>
      <c r="AN167" s="116">
        <v>28830</v>
      </c>
      <c r="AO167" s="116">
        <v>29120</v>
      </c>
      <c r="AP167" s="116">
        <v>29570</v>
      </c>
      <c r="AQ167" s="116">
        <v>30170</v>
      </c>
      <c r="AR167" s="116">
        <v>30840</v>
      </c>
      <c r="AS167" s="116">
        <v>30790</v>
      </c>
      <c r="AT167" s="116">
        <v>30820</v>
      </c>
      <c r="AU167" s="116">
        <v>30660</v>
      </c>
      <c r="AV167" s="116">
        <v>30040</v>
      </c>
      <c r="AW167" s="116">
        <v>31210</v>
      </c>
      <c r="AX167" s="116">
        <v>32080</v>
      </c>
      <c r="AY167" s="116">
        <v>33360</v>
      </c>
      <c r="AZ167" s="116">
        <v>33630</v>
      </c>
      <c r="BA167" s="116">
        <v>32800</v>
      </c>
      <c r="BB167" s="116">
        <v>32730</v>
      </c>
      <c r="BC167" s="116">
        <v>32110</v>
      </c>
      <c r="BD167" s="116">
        <v>32180</v>
      </c>
      <c r="BE167" s="116">
        <v>31590</v>
      </c>
      <c r="BF167" s="116">
        <v>31220</v>
      </c>
    </row>
    <row r="168" spans="1:58" ht="12.75">
      <c r="A168" s="118" t="s">
        <v>374</v>
      </c>
      <c r="B168" s="11"/>
      <c r="C168" s="116">
        <v>18400</v>
      </c>
      <c r="D168" s="116">
        <v>18620</v>
      </c>
      <c r="E168" s="116">
        <v>16670</v>
      </c>
      <c r="F168" s="116">
        <v>18400</v>
      </c>
      <c r="G168" s="116">
        <v>19320</v>
      </c>
      <c r="H168" s="116">
        <v>20330</v>
      </c>
      <c r="I168" s="116">
        <v>23990</v>
      </c>
      <c r="J168" s="116">
        <v>23740</v>
      </c>
      <c r="K168" s="116">
        <v>23300</v>
      </c>
      <c r="L168" s="116">
        <v>24030</v>
      </c>
      <c r="M168" s="116">
        <v>23810</v>
      </c>
      <c r="N168" s="116">
        <v>24140</v>
      </c>
      <c r="O168" s="116">
        <v>24440</v>
      </c>
      <c r="P168" s="116">
        <v>25460</v>
      </c>
      <c r="Q168" s="116">
        <v>26110</v>
      </c>
      <c r="R168" s="116">
        <v>27010</v>
      </c>
      <c r="S168" s="116">
        <v>27600</v>
      </c>
      <c r="T168" s="116">
        <v>28180</v>
      </c>
      <c r="U168" s="116">
        <v>29450</v>
      </c>
      <c r="V168" s="116">
        <v>29950</v>
      </c>
      <c r="W168" s="116">
        <v>31430</v>
      </c>
      <c r="X168" s="116">
        <v>32070</v>
      </c>
      <c r="Y168" s="116">
        <v>32330</v>
      </c>
      <c r="Z168" s="116">
        <v>31530</v>
      </c>
      <c r="AA168" s="116">
        <v>30580</v>
      </c>
      <c r="AB168" s="116">
        <v>30300</v>
      </c>
      <c r="AC168" s="116">
        <v>30600</v>
      </c>
      <c r="AD168" s="116">
        <v>30960</v>
      </c>
      <c r="AE168" s="116">
        <v>31500</v>
      </c>
      <c r="AF168" s="116">
        <v>31340</v>
      </c>
      <c r="AG168" s="116">
        <v>32310</v>
      </c>
      <c r="AH168" s="116">
        <v>31940</v>
      </c>
      <c r="AI168" s="116">
        <v>30760</v>
      </c>
      <c r="AJ168" s="116">
        <v>29830</v>
      </c>
      <c r="AK168" s="116">
        <v>28950</v>
      </c>
      <c r="AL168" s="116">
        <v>27850</v>
      </c>
      <c r="AM168" s="116">
        <v>28010</v>
      </c>
      <c r="AN168" s="116">
        <v>27690</v>
      </c>
      <c r="AO168" s="116">
        <v>28740</v>
      </c>
      <c r="AP168" s="116">
        <v>29020</v>
      </c>
      <c r="AQ168" s="116">
        <v>29470</v>
      </c>
      <c r="AR168" s="116">
        <v>30070</v>
      </c>
      <c r="AS168" s="116">
        <v>30740</v>
      </c>
      <c r="AT168" s="116">
        <v>30690</v>
      </c>
      <c r="AU168" s="116">
        <v>30720</v>
      </c>
      <c r="AV168" s="116">
        <v>30560</v>
      </c>
      <c r="AW168" s="116">
        <v>29940</v>
      </c>
      <c r="AX168" s="116">
        <v>31110</v>
      </c>
      <c r="AY168" s="116">
        <v>31970</v>
      </c>
      <c r="AZ168" s="116">
        <v>33250</v>
      </c>
      <c r="BA168" s="116">
        <v>33520</v>
      </c>
      <c r="BB168" s="116">
        <v>32690</v>
      </c>
      <c r="BC168" s="116">
        <v>32620</v>
      </c>
      <c r="BD168" s="116">
        <v>32010</v>
      </c>
      <c r="BE168" s="116">
        <v>32080</v>
      </c>
      <c r="BF168" s="116">
        <v>31490</v>
      </c>
    </row>
    <row r="169" spans="1:58" ht="12.75">
      <c r="A169" s="118" t="s">
        <v>375</v>
      </c>
      <c r="B169" s="11"/>
      <c r="C169" s="116">
        <v>16900</v>
      </c>
      <c r="D169" s="116">
        <v>18270</v>
      </c>
      <c r="E169" s="116">
        <v>18490</v>
      </c>
      <c r="F169" s="116">
        <v>16560</v>
      </c>
      <c r="G169" s="116">
        <v>18280</v>
      </c>
      <c r="H169" s="116">
        <v>19200</v>
      </c>
      <c r="I169" s="116">
        <v>20200</v>
      </c>
      <c r="J169" s="116">
        <v>23830</v>
      </c>
      <c r="K169" s="116">
        <v>23600</v>
      </c>
      <c r="L169" s="116">
        <v>23160</v>
      </c>
      <c r="M169" s="116">
        <v>23880</v>
      </c>
      <c r="N169" s="116">
        <v>23670</v>
      </c>
      <c r="O169" s="116">
        <v>24000</v>
      </c>
      <c r="P169" s="116">
        <v>24300</v>
      </c>
      <c r="Q169" s="116">
        <v>25320</v>
      </c>
      <c r="R169" s="116">
        <v>25970</v>
      </c>
      <c r="S169" s="116">
        <v>26860</v>
      </c>
      <c r="T169" s="116">
        <v>27450</v>
      </c>
      <c r="U169" s="116">
        <v>28030</v>
      </c>
      <c r="V169" s="116">
        <v>29300</v>
      </c>
      <c r="W169" s="116">
        <v>29790</v>
      </c>
      <c r="X169" s="116">
        <v>31270</v>
      </c>
      <c r="Y169" s="116">
        <v>31900</v>
      </c>
      <c r="Z169" s="116">
        <v>32170</v>
      </c>
      <c r="AA169" s="116">
        <v>31370</v>
      </c>
      <c r="AB169" s="116">
        <v>30440</v>
      </c>
      <c r="AC169" s="116">
        <v>30150</v>
      </c>
      <c r="AD169" s="116">
        <v>30460</v>
      </c>
      <c r="AE169" s="116">
        <v>30810</v>
      </c>
      <c r="AF169" s="116">
        <v>31350</v>
      </c>
      <c r="AG169" s="116">
        <v>31200</v>
      </c>
      <c r="AH169" s="116">
        <v>32160</v>
      </c>
      <c r="AI169" s="116">
        <v>31790</v>
      </c>
      <c r="AJ169" s="116">
        <v>30630</v>
      </c>
      <c r="AK169" s="116">
        <v>29700</v>
      </c>
      <c r="AL169" s="116">
        <v>28830</v>
      </c>
      <c r="AM169" s="116">
        <v>27740</v>
      </c>
      <c r="AN169" s="116">
        <v>27900</v>
      </c>
      <c r="AO169" s="116">
        <v>27580</v>
      </c>
      <c r="AP169" s="116">
        <v>28620</v>
      </c>
      <c r="AQ169" s="116">
        <v>28900</v>
      </c>
      <c r="AR169" s="116">
        <v>29350</v>
      </c>
      <c r="AS169" s="116">
        <v>29950</v>
      </c>
      <c r="AT169" s="116">
        <v>30620</v>
      </c>
      <c r="AU169" s="116">
        <v>30570</v>
      </c>
      <c r="AV169" s="116">
        <v>30600</v>
      </c>
      <c r="AW169" s="116">
        <v>30440</v>
      </c>
      <c r="AX169" s="116">
        <v>29830</v>
      </c>
      <c r="AY169" s="116">
        <v>30990</v>
      </c>
      <c r="AZ169" s="116">
        <v>31850</v>
      </c>
      <c r="BA169" s="116">
        <v>33120</v>
      </c>
      <c r="BB169" s="116">
        <v>33390</v>
      </c>
      <c r="BC169" s="116">
        <v>32560</v>
      </c>
      <c r="BD169" s="116">
        <v>32500</v>
      </c>
      <c r="BE169" s="116">
        <v>31880</v>
      </c>
      <c r="BF169" s="116">
        <v>31950</v>
      </c>
    </row>
    <row r="170" spans="1:58" ht="12.75">
      <c r="A170" s="118" t="s">
        <v>376</v>
      </c>
      <c r="B170" s="11"/>
      <c r="C170" s="116">
        <v>15620</v>
      </c>
      <c r="D170" s="116">
        <v>16770</v>
      </c>
      <c r="E170" s="116">
        <v>18130</v>
      </c>
      <c r="F170" s="116">
        <v>18350</v>
      </c>
      <c r="G170" s="116">
        <v>16440</v>
      </c>
      <c r="H170" s="116">
        <v>18150</v>
      </c>
      <c r="I170" s="116">
        <v>19060</v>
      </c>
      <c r="J170" s="116">
        <v>20060</v>
      </c>
      <c r="K170" s="116">
        <v>23660</v>
      </c>
      <c r="L170" s="116">
        <v>23430</v>
      </c>
      <c r="M170" s="116">
        <v>23000</v>
      </c>
      <c r="N170" s="116">
        <v>23720</v>
      </c>
      <c r="O170" s="116">
        <v>23510</v>
      </c>
      <c r="P170" s="116">
        <v>23850</v>
      </c>
      <c r="Q170" s="116">
        <v>24150</v>
      </c>
      <c r="R170" s="116">
        <v>25160</v>
      </c>
      <c r="S170" s="116">
        <v>25810</v>
      </c>
      <c r="T170" s="116">
        <v>26700</v>
      </c>
      <c r="U170" s="116">
        <v>27280</v>
      </c>
      <c r="V170" s="116">
        <v>27870</v>
      </c>
      <c r="W170" s="116">
        <v>29120</v>
      </c>
      <c r="X170" s="116">
        <v>29620</v>
      </c>
      <c r="Y170" s="116">
        <v>31090</v>
      </c>
      <c r="Z170" s="116">
        <v>31720</v>
      </c>
      <c r="AA170" s="116">
        <v>31990</v>
      </c>
      <c r="AB170" s="116">
        <v>31200</v>
      </c>
      <c r="AC170" s="116">
        <v>30270</v>
      </c>
      <c r="AD170" s="116">
        <v>29990</v>
      </c>
      <c r="AE170" s="116">
        <v>30300</v>
      </c>
      <c r="AF170" s="116">
        <v>30650</v>
      </c>
      <c r="AG170" s="116">
        <v>31190</v>
      </c>
      <c r="AH170" s="116">
        <v>31030</v>
      </c>
      <c r="AI170" s="116">
        <v>32000</v>
      </c>
      <c r="AJ170" s="116">
        <v>31630</v>
      </c>
      <c r="AK170" s="116">
        <v>30470</v>
      </c>
      <c r="AL170" s="116">
        <v>29550</v>
      </c>
      <c r="AM170" s="116">
        <v>28690</v>
      </c>
      <c r="AN170" s="116">
        <v>27610</v>
      </c>
      <c r="AO170" s="116">
        <v>27770</v>
      </c>
      <c r="AP170" s="116">
        <v>27450</v>
      </c>
      <c r="AQ170" s="116">
        <v>28490</v>
      </c>
      <c r="AR170" s="116">
        <v>28770</v>
      </c>
      <c r="AS170" s="116">
        <v>29220</v>
      </c>
      <c r="AT170" s="116">
        <v>29810</v>
      </c>
      <c r="AU170" s="116">
        <v>30480</v>
      </c>
      <c r="AV170" s="116">
        <v>30430</v>
      </c>
      <c r="AW170" s="116">
        <v>30460</v>
      </c>
      <c r="AX170" s="116">
        <v>30310</v>
      </c>
      <c r="AY170" s="116">
        <v>29690</v>
      </c>
      <c r="AZ170" s="116">
        <v>30850</v>
      </c>
      <c r="BA170" s="116">
        <v>31710</v>
      </c>
      <c r="BB170" s="116">
        <v>32970</v>
      </c>
      <c r="BC170" s="116">
        <v>33230</v>
      </c>
      <c r="BD170" s="116">
        <v>32420</v>
      </c>
      <c r="BE170" s="116">
        <v>32350</v>
      </c>
      <c r="BF170" s="116">
        <v>31740</v>
      </c>
    </row>
    <row r="171" spans="1:58" ht="12.75">
      <c r="A171" s="118" t="s">
        <v>377</v>
      </c>
      <c r="B171" s="11"/>
      <c r="C171" s="116">
        <v>14760</v>
      </c>
      <c r="D171" s="116">
        <v>15480</v>
      </c>
      <c r="E171" s="116">
        <v>16620</v>
      </c>
      <c r="F171" s="116">
        <v>17970</v>
      </c>
      <c r="G171" s="116">
        <v>18190</v>
      </c>
      <c r="H171" s="116">
        <v>16310</v>
      </c>
      <c r="I171" s="116">
        <v>18000</v>
      </c>
      <c r="J171" s="116">
        <v>18900</v>
      </c>
      <c r="K171" s="116">
        <v>19900</v>
      </c>
      <c r="L171" s="116">
        <v>23470</v>
      </c>
      <c r="M171" s="116">
        <v>23250</v>
      </c>
      <c r="N171" s="116">
        <v>22830</v>
      </c>
      <c r="O171" s="116">
        <v>23540</v>
      </c>
      <c r="P171" s="116">
        <v>23340</v>
      </c>
      <c r="Q171" s="116">
        <v>23670</v>
      </c>
      <c r="R171" s="116">
        <v>23980</v>
      </c>
      <c r="S171" s="116">
        <v>24980</v>
      </c>
      <c r="T171" s="116">
        <v>25630</v>
      </c>
      <c r="U171" s="116">
        <v>26510</v>
      </c>
      <c r="V171" s="116">
        <v>27100</v>
      </c>
      <c r="W171" s="116">
        <v>27680</v>
      </c>
      <c r="X171" s="116">
        <v>28930</v>
      </c>
      <c r="Y171" s="116">
        <v>29420</v>
      </c>
      <c r="Z171" s="116">
        <v>30890</v>
      </c>
      <c r="AA171" s="116">
        <v>31520</v>
      </c>
      <c r="AB171" s="116">
        <v>31780</v>
      </c>
      <c r="AC171" s="116">
        <v>31000</v>
      </c>
      <c r="AD171" s="116">
        <v>30090</v>
      </c>
      <c r="AE171" s="116">
        <v>29810</v>
      </c>
      <c r="AF171" s="116">
        <v>30120</v>
      </c>
      <c r="AG171" s="116">
        <v>30470</v>
      </c>
      <c r="AH171" s="116">
        <v>31010</v>
      </c>
      <c r="AI171" s="116">
        <v>30850</v>
      </c>
      <c r="AJ171" s="116">
        <v>31810</v>
      </c>
      <c r="AK171" s="116">
        <v>31450</v>
      </c>
      <c r="AL171" s="116">
        <v>30300</v>
      </c>
      <c r="AM171" s="116">
        <v>29390</v>
      </c>
      <c r="AN171" s="116">
        <v>28530</v>
      </c>
      <c r="AO171" s="116">
        <v>27460</v>
      </c>
      <c r="AP171" s="116">
        <v>27620</v>
      </c>
      <c r="AQ171" s="116">
        <v>27310</v>
      </c>
      <c r="AR171" s="116">
        <v>28340</v>
      </c>
      <c r="AS171" s="116">
        <v>28620</v>
      </c>
      <c r="AT171" s="116">
        <v>29070</v>
      </c>
      <c r="AU171" s="116">
        <v>29650</v>
      </c>
      <c r="AV171" s="116">
        <v>30320</v>
      </c>
      <c r="AW171" s="116">
        <v>30270</v>
      </c>
      <c r="AX171" s="116">
        <v>30300</v>
      </c>
      <c r="AY171" s="116">
        <v>30150</v>
      </c>
      <c r="AZ171" s="116">
        <v>29540</v>
      </c>
      <c r="BA171" s="116">
        <v>30690</v>
      </c>
      <c r="BB171" s="116">
        <v>31540</v>
      </c>
      <c r="BC171" s="116">
        <v>32800</v>
      </c>
      <c r="BD171" s="116">
        <v>33060</v>
      </c>
      <c r="BE171" s="116">
        <v>32250</v>
      </c>
      <c r="BF171" s="116">
        <v>32180</v>
      </c>
    </row>
    <row r="172" spans="1:58" ht="12.75">
      <c r="A172" s="118" t="s">
        <v>378</v>
      </c>
      <c r="B172" s="11"/>
      <c r="C172" s="116">
        <v>14230</v>
      </c>
      <c r="D172" s="116">
        <v>14610</v>
      </c>
      <c r="E172" s="116">
        <v>15320</v>
      </c>
      <c r="F172" s="116">
        <v>16450</v>
      </c>
      <c r="G172" s="116">
        <v>17790</v>
      </c>
      <c r="H172" s="116">
        <v>18020</v>
      </c>
      <c r="I172" s="116">
        <v>16160</v>
      </c>
      <c r="J172" s="116">
        <v>17840</v>
      </c>
      <c r="K172" s="116">
        <v>18730</v>
      </c>
      <c r="L172" s="116">
        <v>19720</v>
      </c>
      <c r="M172" s="116">
        <v>23260</v>
      </c>
      <c r="N172" s="116">
        <v>23040</v>
      </c>
      <c r="O172" s="116">
        <v>22630</v>
      </c>
      <c r="P172" s="116">
        <v>23350</v>
      </c>
      <c r="Q172" s="116">
        <v>23150</v>
      </c>
      <c r="R172" s="116">
        <v>23480</v>
      </c>
      <c r="S172" s="116">
        <v>23780</v>
      </c>
      <c r="T172" s="116">
        <v>24790</v>
      </c>
      <c r="U172" s="116">
        <v>25430</v>
      </c>
      <c r="V172" s="116">
        <v>26310</v>
      </c>
      <c r="W172" s="116">
        <v>26890</v>
      </c>
      <c r="X172" s="116">
        <v>27470</v>
      </c>
      <c r="Y172" s="116">
        <v>28720</v>
      </c>
      <c r="Z172" s="116">
        <v>29210</v>
      </c>
      <c r="AA172" s="116">
        <v>30660</v>
      </c>
      <c r="AB172" s="116">
        <v>31290</v>
      </c>
      <c r="AC172" s="116">
        <v>31560</v>
      </c>
      <c r="AD172" s="116">
        <v>30790</v>
      </c>
      <c r="AE172" s="116">
        <v>29880</v>
      </c>
      <c r="AF172" s="116">
        <v>29610</v>
      </c>
      <c r="AG172" s="116">
        <v>29910</v>
      </c>
      <c r="AH172" s="116">
        <v>30270</v>
      </c>
      <c r="AI172" s="116">
        <v>30800</v>
      </c>
      <c r="AJ172" s="116">
        <v>30650</v>
      </c>
      <c r="AK172" s="116">
        <v>31610</v>
      </c>
      <c r="AL172" s="116">
        <v>31250</v>
      </c>
      <c r="AM172" s="116">
        <v>30110</v>
      </c>
      <c r="AN172" s="116">
        <v>29210</v>
      </c>
      <c r="AO172" s="116">
        <v>28360</v>
      </c>
      <c r="AP172" s="116">
        <v>27290</v>
      </c>
      <c r="AQ172" s="116">
        <v>27460</v>
      </c>
      <c r="AR172" s="116">
        <v>27140</v>
      </c>
      <c r="AS172" s="116">
        <v>28170</v>
      </c>
      <c r="AT172" s="116">
        <v>28450</v>
      </c>
      <c r="AU172" s="116">
        <v>28890</v>
      </c>
      <c r="AV172" s="116">
        <v>29480</v>
      </c>
      <c r="AW172" s="116">
        <v>30140</v>
      </c>
      <c r="AX172" s="116">
        <v>30100</v>
      </c>
      <c r="AY172" s="116">
        <v>30120</v>
      </c>
      <c r="AZ172" s="116">
        <v>29970</v>
      </c>
      <c r="BA172" s="116">
        <v>29370</v>
      </c>
      <c r="BB172" s="116">
        <v>30510</v>
      </c>
      <c r="BC172" s="116">
        <v>31360</v>
      </c>
      <c r="BD172" s="116">
        <v>32600</v>
      </c>
      <c r="BE172" s="116">
        <v>32870</v>
      </c>
      <c r="BF172" s="116">
        <v>32060</v>
      </c>
    </row>
    <row r="173" spans="1:58" ht="12.75">
      <c r="A173" s="118" t="s">
        <v>379</v>
      </c>
      <c r="B173" s="11"/>
      <c r="C173" s="116">
        <v>13460</v>
      </c>
      <c r="D173" s="116">
        <v>14060</v>
      </c>
      <c r="E173" s="116">
        <v>14450</v>
      </c>
      <c r="F173" s="116">
        <v>15150</v>
      </c>
      <c r="G173" s="116">
        <v>16270</v>
      </c>
      <c r="H173" s="116">
        <v>17600</v>
      </c>
      <c r="I173" s="116">
        <v>17830</v>
      </c>
      <c r="J173" s="116">
        <v>15990</v>
      </c>
      <c r="K173" s="116">
        <v>17660</v>
      </c>
      <c r="L173" s="116">
        <v>18550</v>
      </c>
      <c r="M173" s="116">
        <v>19530</v>
      </c>
      <c r="N173" s="116">
        <v>23030</v>
      </c>
      <c r="O173" s="116">
        <v>22820</v>
      </c>
      <c r="P173" s="116">
        <v>22420</v>
      </c>
      <c r="Q173" s="116">
        <v>23130</v>
      </c>
      <c r="R173" s="116">
        <v>22930</v>
      </c>
      <c r="S173" s="116">
        <v>23270</v>
      </c>
      <c r="T173" s="116">
        <v>23570</v>
      </c>
      <c r="U173" s="116">
        <v>24570</v>
      </c>
      <c r="V173" s="116">
        <v>25210</v>
      </c>
      <c r="W173" s="116">
        <v>26080</v>
      </c>
      <c r="X173" s="116">
        <v>26660</v>
      </c>
      <c r="Y173" s="116">
        <v>27240</v>
      </c>
      <c r="Z173" s="116">
        <v>28480</v>
      </c>
      <c r="AA173" s="116">
        <v>28970</v>
      </c>
      <c r="AB173" s="116">
        <v>30410</v>
      </c>
      <c r="AC173" s="116">
        <v>31040</v>
      </c>
      <c r="AD173" s="116">
        <v>31310</v>
      </c>
      <c r="AE173" s="116">
        <v>30550</v>
      </c>
      <c r="AF173" s="116">
        <v>29650</v>
      </c>
      <c r="AG173" s="116">
        <v>29390</v>
      </c>
      <c r="AH173" s="116">
        <v>29690</v>
      </c>
      <c r="AI173" s="116">
        <v>30040</v>
      </c>
      <c r="AJ173" s="116">
        <v>30580</v>
      </c>
      <c r="AK173" s="116">
        <v>30430</v>
      </c>
      <c r="AL173" s="116">
        <v>31380</v>
      </c>
      <c r="AM173" s="116">
        <v>31030</v>
      </c>
      <c r="AN173" s="116">
        <v>29900</v>
      </c>
      <c r="AO173" s="116">
        <v>29000</v>
      </c>
      <c r="AP173" s="116">
        <v>28160</v>
      </c>
      <c r="AQ173" s="116">
        <v>27100</v>
      </c>
      <c r="AR173" s="116">
        <v>27270</v>
      </c>
      <c r="AS173" s="116">
        <v>26960</v>
      </c>
      <c r="AT173" s="116">
        <v>27980</v>
      </c>
      <c r="AU173" s="116">
        <v>28260</v>
      </c>
      <c r="AV173" s="116">
        <v>28700</v>
      </c>
      <c r="AW173" s="116">
        <v>29280</v>
      </c>
      <c r="AX173" s="116">
        <v>29940</v>
      </c>
      <c r="AY173" s="116">
        <v>29890</v>
      </c>
      <c r="AZ173" s="116">
        <v>29920</v>
      </c>
      <c r="BA173" s="116">
        <v>29770</v>
      </c>
      <c r="BB173" s="116">
        <v>29170</v>
      </c>
      <c r="BC173" s="116">
        <v>30310</v>
      </c>
      <c r="BD173" s="116">
        <v>31150</v>
      </c>
      <c r="BE173" s="116">
        <v>32390</v>
      </c>
      <c r="BF173" s="116">
        <v>32650</v>
      </c>
    </row>
    <row r="174" spans="1:58" ht="12.75">
      <c r="A174" s="118" t="s">
        <v>380</v>
      </c>
      <c r="B174" s="11"/>
      <c r="C174" s="116">
        <v>12650</v>
      </c>
      <c r="D174" s="116">
        <v>13280</v>
      </c>
      <c r="E174" s="116">
        <v>13880</v>
      </c>
      <c r="F174" s="116">
        <v>14260</v>
      </c>
      <c r="G174" s="116">
        <v>14960</v>
      </c>
      <c r="H174" s="116">
        <v>16070</v>
      </c>
      <c r="I174" s="116">
        <v>17390</v>
      </c>
      <c r="J174" s="116">
        <v>17620</v>
      </c>
      <c r="K174" s="116">
        <v>15810</v>
      </c>
      <c r="L174" s="116">
        <v>17450</v>
      </c>
      <c r="M174" s="116">
        <v>18340</v>
      </c>
      <c r="N174" s="116">
        <v>19310</v>
      </c>
      <c r="O174" s="116">
        <v>22780</v>
      </c>
      <c r="P174" s="116">
        <v>22570</v>
      </c>
      <c r="Q174" s="116">
        <v>22180</v>
      </c>
      <c r="R174" s="116">
        <v>22890</v>
      </c>
      <c r="S174" s="116">
        <v>22700</v>
      </c>
      <c r="T174" s="116">
        <v>23040</v>
      </c>
      <c r="U174" s="116">
        <v>23340</v>
      </c>
      <c r="V174" s="116">
        <v>24330</v>
      </c>
      <c r="W174" s="116">
        <v>24960</v>
      </c>
      <c r="X174" s="116">
        <v>25830</v>
      </c>
      <c r="Y174" s="116">
        <v>26410</v>
      </c>
      <c r="Z174" s="116">
        <v>26990</v>
      </c>
      <c r="AA174" s="116">
        <v>28210</v>
      </c>
      <c r="AB174" s="116">
        <v>28700</v>
      </c>
      <c r="AC174" s="116">
        <v>30140</v>
      </c>
      <c r="AD174" s="116">
        <v>30760</v>
      </c>
      <c r="AE174" s="116">
        <v>31030</v>
      </c>
      <c r="AF174" s="116">
        <v>30280</v>
      </c>
      <c r="AG174" s="116">
        <v>29390</v>
      </c>
      <c r="AH174" s="116">
        <v>29130</v>
      </c>
      <c r="AI174" s="116">
        <v>29440</v>
      </c>
      <c r="AJ174" s="116">
        <v>29790</v>
      </c>
      <c r="AK174" s="116">
        <v>30320</v>
      </c>
      <c r="AL174" s="116">
        <v>30180</v>
      </c>
      <c r="AM174" s="116">
        <v>31120</v>
      </c>
      <c r="AN174" s="116">
        <v>30770</v>
      </c>
      <c r="AO174" s="116">
        <v>29660</v>
      </c>
      <c r="AP174" s="116">
        <v>28770</v>
      </c>
      <c r="AQ174" s="116">
        <v>27940</v>
      </c>
      <c r="AR174" s="116">
        <v>26890</v>
      </c>
      <c r="AS174" s="116">
        <v>27060</v>
      </c>
      <c r="AT174" s="116">
        <v>26750</v>
      </c>
      <c r="AU174" s="116">
        <v>27760</v>
      </c>
      <c r="AV174" s="116">
        <v>28040</v>
      </c>
      <c r="AW174" s="116">
        <v>28480</v>
      </c>
      <c r="AX174" s="116">
        <v>29060</v>
      </c>
      <c r="AY174" s="116">
        <v>29710</v>
      </c>
      <c r="AZ174" s="116">
        <v>29670</v>
      </c>
      <c r="BA174" s="116">
        <v>29700</v>
      </c>
      <c r="BB174" s="116">
        <v>29550</v>
      </c>
      <c r="BC174" s="116">
        <v>28950</v>
      </c>
      <c r="BD174" s="116">
        <v>30080</v>
      </c>
      <c r="BE174" s="116">
        <v>30910</v>
      </c>
      <c r="BF174" s="116">
        <v>32140</v>
      </c>
    </row>
    <row r="175" spans="1:58" ht="12.75">
      <c r="A175" s="118" t="s">
        <v>381</v>
      </c>
      <c r="B175" s="11"/>
      <c r="C175" s="116">
        <v>12410</v>
      </c>
      <c r="D175" s="116">
        <v>12460</v>
      </c>
      <c r="E175" s="116">
        <v>13080</v>
      </c>
      <c r="F175" s="116">
        <v>13680</v>
      </c>
      <c r="G175" s="116">
        <v>14060</v>
      </c>
      <c r="H175" s="116">
        <v>14760</v>
      </c>
      <c r="I175" s="116">
        <v>15850</v>
      </c>
      <c r="J175" s="116">
        <v>17150</v>
      </c>
      <c r="K175" s="116">
        <v>17380</v>
      </c>
      <c r="L175" s="116">
        <v>15610</v>
      </c>
      <c r="M175" s="116">
        <v>17230</v>
      </c>
      <c r="N175" s="116">
        <v>18110</v>
      </c>
      <c r="O175" s="116">
        <v>19080</v>
      </c>
      <c r="P175" s="116">
        <v>22500</v>
      </c>
      <c r="Q175" s="116">
        <v>22300</v>
      </c>
      <c r="R175" s="116">
        <v>21920</v>
      </c>
      <c r="S175" s="116">
        <v>22620</v>
      </c>
      <c r="T175" s="116">
        <v>22440</v>
      </c>
      <c r="U175" s="116">
        <v>22780</v>
      </c>
      <c r="V175" s="116">
        <v>23080</v>
      </c>
      <c r="W175" s="116">
        <v>24060</v>
      </c>
      <c r="X175" s="116">
        <v>24690</v>
      </c>
      <c r="Y175" s="116">
        <v>25560</v>
      </c>
      <c r="Z175" s="116">
        <v>26130</v>
      </c>
      <c r="AA175" s="116">
        <v>26710</v>
      </c>
      <c r="AB175" s="116">
        <v>27920</v>
      </c>
      <c r="AC175" s="116">
        <v>28410</v>
      </c>
      <c r="AD175" s="116">
        <v>29830</v>
      </c>
      <c r="AE175" s="116">
        <v>30450</v>
      </c>
      <c r="AF175" s="116">
        <v>30720</v>
      </c>
      <c r="AG175" s="116">
        <v>29980</v>
      </c>
      <c r="AH175" s="116">
        <v>29110</v>
      </c>
      <c r="AI175" s="116">
        <v>28860</v>
      </c>
      <c r="AJ175" s="116">
        <v>29160</v>
      </c>
      <c r="AK175" s="116">
        <v>29510</v>
      </c>
      <c r="AL175" s="116">
        <v>30040</v>
      </c>
      <c r="AM175" s="116">
        <v>29900</v>
      </c>
      <c r="AN175" s="116">
        <v>30830</v>
      </c>
      <c r="AO175" s="116">
        <v>30490</v>
      </c>
      <c r="AP175" s="116">
        <v>29390</v>
      </c>
      <c r="AQ175" s="116">
        <v>28520</v>
      </c>
      <c r="AR175" s="116">
        <v>27690</v>
      </c>
      <c r="AS175" s="116">
        <v>26660</v>
      </c>
      <c r="AT175" s="116">
        <v>26820</v>
      </c>
      <c r="AU175" s="116">
        <v>26520</v>
      </c>
      <c r="AV175" s="116">
        <v>27520</v>
      </c>
      <c r="AW175" s="116">
        <v>27800</v>
      </c>
      <c r="AX175" s="116">
        <v>28230</v>
      </c>
      <c r="AY175" s="116">
        <v>28810</v>
      </c>
      <c r="AZ175" s="116">
        <v>29450</v>
      </c>
      <c r="BA175" s="116">
        <v>29410</v>
      </c>
      <c r="BB175" s="116">
        <v>29440</v>
      </c>
      <c r="BC175" s="116">
        <v>29300</v>
      </c>
      <c r="BD175" s="116">
        <v>28710</v>
      </c>
      <c r="BE175" s="116">
        <v>29820</v>
      </c>
      <c r="BF175" s="116">
        <v>30650</v>
      </c>
    </row>
    <row r="176" spans="1:58" ht="12.75">
      <c r="A176" s="118" t="s">
        <v>382</v>
      </c>
      <c r="B176" s="11"/>
      <c r="C176" s="116">
        <v>12300</v>
      </c>
      <c r="D176" s="116">
        <v>12210</v>
      </c>
      <c r="E176" s="116">
        <v>12260</v>
      </c>
      <c r="F176" s="116">
        <v>12870</v>
      </c>
      <c r="G176" s="116">
        <v>13460</v>
      </c>
      <c r="H176" s="116">
        <v>13840</v>
      </c>
      <c r="I176" s="116">
        <v>14530</v>
      </c>
      <c r="J176" s="116">
        <v>15610</v>
      </c>
      <c r="K176" s="116">
        <v>16900</v>
      </c>
      <c r="L176" s="116">
        <v>17130</v>
      </c>
      <c r="M176" s="116">
        <v>15380</v>
      </c>
      <c r="N176" s="116">
        <v>16990</v>
      </c>
      <c r="O176" s="116">
        <v>17860</v>
      </c>
      <c r="P176" s="116">
        <v>18820</v>
      </c>
      <c r="Q176" s="116">
        <v>22200</v>
      </c>
      <c r="R176" s="116">
        <v>22010</v>
      </c>
      <c r="S176" s="116">
        <v>21630</v>
      </c>
      <c r="T176" s="116">
        <v>22330</v>
      </c>
      <c r="U176" s="116">
        <v>22160</v>
      </c>
      <c r="V176" s="116">
        <v>22490</v>
      </c>
      <c r="W176" s="116">
        <v>22800</v>
      </c>
      <c r="X176" s="116">
        <v>23770</v>
      </c>
      <c r="Y176" s="116">
        <v>24400</v>
      </c>
      <c r="Z176" s="116">
        <v>25260</v>
      </c>
      <c r="AA176" s="116">
        <v>25830</v>
      </c>
      <c r="AB176" s="116">
        <v>26400</v>
      </c>
      <c r="AC176" s="116">
        <v>27600</v>
      </c>
      <c r="AD176" s="116">
        <v>28090</v>
      </c>
      <c r="AE176" s="116">
        <v>29500</v>
      </c>
      <c r="AF176" s="116">
        <v>30110</v>
      </c>
      <c r="AG176" s="116">
        <v>30390</v>
      </c>
      <c r="AH176" s="116">
        <v>29660</v>
      </c>
      <c r="AI176" s="116">
        <v>28800</v>
      </c>
      <c r="AJ176" s="116">
        <v>28550</v>
      </c>
      <c r="AK176" s="116">
        <v>28850</v>
      </c>
      <c r="AL176" s="116">
        <v>29200</v>
      </c>
      <c r="AM176" s="116">
        <v>29730</v>
      </c>
      <c r="AN176" s="116">
        <v>29590</v>
      </c>
      <c r="AO176" s="116">
        <v>30520</v>
      </c>
      <c r="AP176" s="116">
        <v>30180</v>
      </c>
      <c r="AQ176" s="116">
        <v>29090</v>
      </c>
      <c r="AR176" s="116">
        <v>28230</v>
      </c>
      <c r="AS176" s="116">
        <v>27410</v>
      </c>
      <c r="AT176" s="116">
        <v>26390</v>
      </c>
      <c r="AU176" s="116">
        <v>26560</v>
      </c>
      <c r="AV176" s="116">
        <v>26260</v>
      </c>
      <c r="AW176" s="116">
        <v>27260</v>
      </c>
      <c r="AX176" s="116">
        <v>27530</v>
      </c>
      <c r="AY176" s="116">
        <v>27960</v>
      </c>
      <c r="AZ176" s="116">
        <v>28530</v>
      </c>
      <c r="BA176" s="116">
        <v>29170</v>
      </c>
      <c r="BB176" s="116">
        <v>29130</v>
      </c>
      <c r="BC176" s="116">
        <v>29160</v>
      </c>
      <c r="BD176" s="116">
        <v>29020</v>
      </c>
      <c r="BE176" s="116">
        <v>28430</v>
      </c>
      <c r="BF176" s="116">
        <v>29530</v>
      </c>
    </row>
    <row r="177" spans="1:58" ht="12.75">
      <c r="A177" s="118" t="s">
        <v>383</v>
      </c>
      <c r="B177" s="11"/>
      <c r="C177" s="116">
        <v>11960</v>
      </c>
      <c r="D177" s="116">
        <v>12070</v>
      </c>
      <c r="E177" s="116">
        <v>11980</v>
      </c>
      <c r="F177" s="116">
        <v>12030</v>
      </c>
      <c r="G177" s="116">
        <v>12640</v>
      </c>
      <c r="H177" s="116">
        <v>13230</v>
      </c>
      <c r="I177" s="116">
        <v>13610</v>
      </c>
      <c r="J177" s="116">
        <v>14280</v>
      </c>
      <c r="K177" s="116">
        <v>15350</v>
      </c>
      <c r="L177" s="116">
        <v>16620</v>
      </c>
      <c r="M177" s="116">
        <v>16850</v>
      </c>
      <c r="N177" s="116">
        <v>15140</v>
      </c>
      <c r="O177" s="116">
        <v>16730</v>
      </c>
      <c r="P177" s="116">
        <v>17590</v>
      </c>
      <c r="Q177" s="116">
        <v>18530</v>
      </c>
      <c r="R177" s="116">
        <v>21870</v>
      </c>
      <c r="S177" s="116">
        <v>21680</v>
      </c>
      <c r="T177" s="116">
        <v>21320</v>
      </c>
      <c r="U177" s="116">
        <v>22010</v>
      </c>
      <c r="V177" s="116">
        <v>21850</v>
      </c>
      <c r="W177" s="116">
        <v>22180</v>
      </c>
      <c r="X177" s="116">
        <v>22490</v>
      </c>
      <c r="Y177" s="116">
        <v>23450</v>
      </c>
      <c r="Z177" s="116">
        <v>24080</v>
      </c>
      <c r="AA177" s="116">
        <v>24930</v>
      </c>
      <c r="AB177" s="116">
        <v>25490</v>
      </c>
      <c r="AC177" s="116">
        <v>26060</v>
      </c>
      <c r="AD177" s="116">
        <v>27250</v>
      </c>
      <c r="AE177" s="116">
        <v>27740</v>
      </c>
      <c r="AF177" s="116">
        <v>29130</v>
      </c>
      <c r="AG177" s="116">
        <v>29740</v>
      </c>
      <c r="AH177" s="116">
        <v>30020</v>
      </c>
      <c r="AI177" s="116">
        <v>29300</v>
      </c>
      <c r="AJ177" s="116">
        <v>28450</v>
      </c>
      <c r="AK177" s="116">
        <v>28210</v>
      </c>
      <c r="AL177" s="116">
        <v>28510</v>
      </c>
      <c r="AM177" s="116">
        <v>28860</v>
      </c>
      <c r="AN177" s="116">
        <v>29380</v>
      </c>
      <c r="AO177" s="116">
        <v>29250</v>
      </c>
      <c r="AP177" s="116">
        <v>30170</v>
      </c>
      <c r="AQ177" s="116">
        <v>29840</v>
      </c>
      <c r="AR177" s="116">
        <v>28770</v>
      </c>
      <c r="AS177" s="116">
        <v>27910</v>
      </c>
      <c r="AT177" s="116">
        <v>27110</v>
      </c>
      <c r="AU177" s="116">
        <v>26100</v>
      </c>
      <c r="AV177" s="116">
        <v>26270</v>
      </c>
      <c r="AW177" s="116">
        <v>25970</v>
      </c>
      <c r="AX177" s="116">
        <v>26960</v>
      </c>
      <c r="AY177" s="116">
        <v>27230</v>
      </c>
      <c r="AZ177" s="116">
        <v>27660</v>
      </c>
      <c r="BA177" s="116">
        <v>28220</v>
      </c>
      <c r="BB177" s="116">
        <v>28850</v>
      </c>
      <c r="BC177" s="116">
        <v>28810</v>
      </c>
      <c r="BD177" s="116">
        <v>28850</v>
      </c>
      <c r="BE177" s="116">
        <v>28700</v>
      </c>
      <c r="BF177" s="116">
        <v>28130</v>
      </c>
    </row>
    <row r="178" spans="1:58" ht="12.75">
      <c r="A178" s="118" t="s">
        <v>384</v>
      </c>
      <c r="B178" s="11"/>
      <c r="C178" s="116">
        <v>12130</v>
      </c>
      <c r="D178" s="116">
        <v>11700</v>
      </c>
      <c r="E178" s="116">
        <v>11820</v>
      </c>
      <c r="F178" s="116">
        <v>11730</v>
      </c>
      <c r="G178" s="116">
        <v>11790</v>
      </c>
      <c r="H178" s="116">
        <v>12390</v>
      </c>
      <c r="I178" s="116">
        <v>12970</v>
      </c>
      <c r="J178" s="116">
        <v>13350</v>
      </c>
      <c r="K178" s="116">
        <v>14020</v>
      </c>
      <c r="L178" s="116">
        <v>15070</v>
      </c>
      <c r="M178" s="116">
        <v>16320</v>
      </c>
      <c r="N178" s="116">
        <v>16560</v>
      </c>
      <c r="O178" s="116">
        <v>14880</v>
      </c>
      <c r="P178" s="116">
        <v>16440</v>
      </c>
      <c r="Q178" s="116">
        <v>17290</v>
      </c>
      <c r="R178" s="116">
        <v>18230</v>
      </c>
      <c r="S178" s="116">
        <v>21510</v>
      </c>
      <c r="T178" s="116">
        <v>21330</v>
      </c>
      <c r="U178" s="116">
        <v>20980</v>
      </c>
      <c r="V178" s="116">
        <v>21670</v>
      </c>
      <c r="W178" s="116">
        <v>21510</v>
      </c>
      <c r="X178" s="116">
        <v>21850</v>
      </c>
      <c r="Y178" s="116">
        <v>22150</v>
      </c>
      <c r="Z178" s="116">
        <v>23100</v>
      </c>
      <c r="AA178" s="116">
        <v>23720</v>
      </c>
      <c r="AB178" s="116">
        <v>24560</v>
      </c>
      <c r="AC178" s="116">
        <v>25130</v>
      </c>
      <c r="AD178" s="116">
        <v>25690</v>
      </c>
      <c r="AE178" s="116">
        <v>26870</v>
      </c>
      <c r="AF178" s="116">
        <v>27350</v>
      </c>
      <c r="AG178" s="116">
        <v>28730</v>
      </c>
      <c r="AH178" s="116">
        <v>29340</v>
      </c>
      <c r="AI178" s="116">
        <v>29610</v>
      </c>
      <c r="AJ178" s="116">
        <v>28910</v>
      </c>
      <c r="AK178" s="116">
        <v>28070</v>
      </c>
      <c r="AL178" s="116">
        <v>27840</v>
      </c>
      <c r="AM178" s="116">
        <v>28140</v>
      </c>
      <c r="AN178" s="116">
        <v>28490</v>
      </c>
      <c r="AO178" s="116">
        <v>29000</v>
      </c>
      <c r="AP178" s="116">
        <v>28880</v>
      </c>
      <c r="AQ178" s="116">
        <v>29790</v>
      </c>
      <c r="AR178" s="116">
        <v>29460</v>
      </c>
      <c r="AS178" s="116">
        <v>28400</v>
      </c>
      <c r="AT178" s="116">
        <v>27570</v>
      </c>
      <c r="AU178" s="116">
        <v>26770</v>
      </c>
      <c r="AV178" s="116">
        <v>25780</v>
      </c>
      <c r="AW178" s="116">
        <v>25940</v>
      </c>
      <c r="AX178" s="116">
        <v>25660</v>
      </c>
      <c r="AY178" s="116">
        <v>26630</v>
      </c>
      <c r="AZ178" s="116">
        <v>26900</v>
      </c>
      <c r="BA178" s="116">
        <v>27320</v>
      </c>
      <c r="BB178" s="116">
        <v>27880</v>
      </c>
      <c r="BC178" s="116">
        <v>28500</v>
      </c>
      <c r="BD178" s="116">
        <v>28460</v>
      </c>
      <c r="BE178" s="116">
        <v>28500</v>
      </c>
      <c r="BF178" s="116">
        <v>28360</v>
      </c>
    </row>
    <row r="179" spans="1:58" ht="12.75">
      <c r="A179" s="118" t="s">
        <v>385</v>
      </c>
      <c r="B179" s="11"/>
      <c r="C179" s="116">
        <v>11810</v>
      </c>
      <c r="D179" s="116">
        <v>11840</v>
      </c>
      <c r="E179" s="116">
        <v>11430</v>
      </c>
      <c r="F179" s="116">
        <v>11540</v>
      </c>
      <c r="G179" s="116">
        <v>11470</v>
      </c>
      <c r="H179" s="116">
        <v>11530</v>
      </c>
      <c r="I179" s="116">
        <v>12130</v>
      </c>
      <c r="J179" s="116">
        <v>12700</v>
      </c>
      <c r="K179" s="116">
        <v>13070</v>
      </c>
      <c r="L179" s="116">
        <v>13730</v>
      </c>
      <c r="M179" s="116">
        <v>14770</v>
      </c>
      <c r="N179" s="116">
        <v>16000</v>
      </c>
      <c r="O179" s="116">
        <v>16230</v>
      </c>
      <c r="P179" s="116">
        <v>14600</v>
      </c>
      <c r="Q179" s="116">
        <v>16130</v>
      </c>
      <c r="R179" s="116">
        <v>16970</v>
      </c>
      <c r="S179" s="116">
        <v>17890</v>
      </c>
      <c r="T179" s="116">
        <v>21120</v>
      </c>
      <c r="U179" s="116">
        <v>20950</v>
      </c>
      <c r="V179" s="116">
        <v>20610</v>
      </c>
      <c r="W179" s="116">
        <v>21290</v>
      </c>
      <c r="X179" s="116">
        <v>21140</v>
      </c>
      <c r="Y179" s="116">
        <v>21480</v>
      </c>
      <c r="Z179" s="116">
        <v>21780</v>
      </c>
      <c r="AA179" s="116">
        <v>22720</v>
      </c>
      <c r="AB179" s="116">
        <v>23340</v>
      </c>
      <c r="AC179" s="116">
        <v>24170</v>
      </c>
      <c r="AD179" s="116">
        <v>24730</v>
      </c>
      <c r="AE179" s="116">
        <v>25290</v>
      </c>
      <c r="AF179" s="116">
        <v>26450</v>
      </c>
      <c r="AG179" s="116">
        <v>26930</v>
      </c>
      <c r="AH179" s="116">
        <v>28290</v>
      </c>
      <c r="AI179" s="116">
        <v>28890</v>
      </c>
      <c r="AJ179" s="116">
        <v>29160</v>
      </c>
      <c r="AK179" s="116">
        <v>28480</v>
      </c>
      <c r="AL179" s="116">
        <v>27660</v>
      </c>
      <c r="AM179" s="116">
        <v>27430</v>
      </c>
      <c r="AN179" s="116">
        <v>27730</v>
      </c>
      <c r="AO179" s="116">
        <v>28080</v>
      </c>
      <c r="AP179" s="116">
        <v>28590</v>
      </c>
      <c r="AQ179" s="116">
        <v>28470</v>
      </c>
      <c r="AR179" s="116">
        <v>29360</v>
      </c>
      <c r="AS179" s="116">
        <v>29050</v>
      </c>
      <c r="AT179" s="116">
        <v>28010</v>
      </c>
      <c r="AU179" s="116">
        <v>27180</v>
      </c>
      <c r="AV179" s="116">
        <v>26400</v>
      </c>
      <c r="AW179" s="116">
        <v>25430</v>
      </c>
      <c r="AX179" s="116">
        <v>25590</v>
      </c>
      <c r="AY179" s="116">
        <v>25310</v>
      </c>
      <c r="AZ179" s="116">
        <v>26270</v>
      </c>
      <c r="BA179" s="116">
        <v>26530</v>
      </c>
      <c r="BB179" s="116">
        <v>26950</v>
      </c>
      <c r="BC179" s="116">
        <v>27500</v>
      </c>
      <c r="BD179" s="116">
        <v>28120</v>
      </c>
      <c r="BE179" s="116">
        <v>28080</v>
      </c>
      <c r="BF179" s="116">
        <v>28110</v>
      </c>
    </row>
    <row r="180" spans="1:58" ht="12.75">
      <c r="A180" s="118" t="s">
        <v>386</v>
      </c>
      <c r="B180" s="11"/>
      <c r="C180" s="116">
        <v>11080</v>
      </c>
      <c r="D180" s="116">
        <v>11490</v>
      </c>
      <c r="E180" s="116">
        <v>11530</v>
      </c>
      <c r="F180" s="116">
        <v>11140</v>
      </c>
      <c r="G180" s="116">
        <v>11250</v>
      </c>
      <c r="H180" s="116">
        <v>11190</v>
      </c>
      <c r="I180" s="116">
        <v>11260</v>
      </c>
      <c r="J180" s="116">
        <v>11840</v>
      </c>
      <c r="K180" s="116">
        <v>12400</v>
      </c>
      <c r="L180" s="116">
        <v>12770</v>
      </c>
      <c r="M180" s="116">
        <v>13420</v>
      </c>
      <c r="N180" s="116">
        <v>14440</v>
      </c>
      <c r="O180" s="116">
        <v>15650</v>
      </c>
      <c r="P180" s="116">
        <v>15890</v>
      </c>
      <c r="Q180" s="116">
        <v>14290</v>
      </c>
      <c r="R180" s="116">
        <v>15800</v>
      </c>
      <c r="S180" s="116">
        <v>16630</v>
      </c>
      <c r="T180" s="116">
        <v>17530</v>
      </c>
      <c r="U180" s="116">
        <v>20700</v>
      </c>
      <c r="V180" s="116">
        <v>20540</v>
      </c>
      <c r="W180" s="116">
        <v>20220</v>
      </c>
      <c r="X180" s="116">
        <v>20890</v>
      </c>
      <c r="Y180" s="116">
        <v>20750</v>
      </c>
      <c r="Z180" s="116">
        <v>21080</v>
      </c>
      <c r="AA180" s="116">
        <v>21380</v>
      </c>
      <c r="AB180" s="116">
        <v>22310</v>
      </c>
      <c r="AC180" s="116">
        <v>22920</v>
      </c>
      <c r="AD180" s="116">
        <v>23740</v>
      </c>
      <c r="AE180" s="116">
        <v>24300</v>
      </c>
      <c r="AF180" s="116">
        <v>24850</v>
      </c>
      <c r="AG180" s="116">
        <v>26000</v>
      </c>
      <c r="AH180" s="116">
        <v>26470</v>
      </c>
      <c r="AI180" s="116">
        <v>27810</v>
      </c>
      <c r="AJ180" s="116">
        <v>28410</v>
      </c>
      <c r="AK180" s="116">
        <v>28680</v>
      </c>
      <c r="AL180" s="116">
        <v>28010</v>
      </c>
      <c r="AM180" s="116">
        <v>27210</v>
      </c>
      <c r="AN180" s="116">
        <v>26990</v>
      </c>
      <c r="AO180" s="116">
        <v>27290</v>
      </c>
      <c r="AP180" s="116">
        <v>27630</v>
      </c>
      <c r="AQ180" s="116">
        <v>28140</v>
      </c>
      <c r="AR180" s="116">
        <v>28020</v>
      </c>
      <c r="AS180" s="116">
        <v>28900</v>
      </c>
      <c r="AT180" s="116">
        <v>28600</v>
      </c>
      <c r="AU180" s="116">
        <v>27570</v>
      </c>
      <c r="AV180" s="116">
        <v>26760</v>
      </c>
      <c r="AW180" s="116">
        <v>26000</v>
      </c>
      <c r="AX180" s="116">
        <v>25040</v>
      </c>
      <c r="AY180" s="116">
        <v>25200</v>
      </c>
      <c r="AZ180" s="116">
        <v>24920</v>
      </c>
      <c r="BA180" s="116">
        <v>25870</v>
      </c>
      <c r="BB180" s="116">
        <v>26130</v>
      </c>
      <c r="BC180" s="116">
        <v>26540</v>
      </c>
      <c r="BD180" s="116">
        <v>27080</v>
      </c>
      <c r="BE180" s="116">
        <v>27690</v>
      </c>
      <c r="BF180" s="116">
        <v>27650</v>
      </c>
    </row>
    <row r="181" spans="1:58" ht="12.75">
      <c r="A181" s="118" t="s">
        <v>387</v>
      </c>
      <c r="B181" s="11"/>
      <c r="C181" s="116">
        <v>10800</v>
      </c>
      <c r="D181" s="116">
        <v>10750</v>
      </c>
      <c r="E181" s="116">
        <v>11150</v>
      </c>
      <c r="F181" s="116">
        <v>11190</v>
      </c>
      <c r="G181" s="116">
        <v>10820</v>
      </c>
      <c r="H181" s="116">
        <v>10940</v>
      </c>
      <c r="I181" s="116">
        <v>10890</v>
      </c>
      <c r="J181" s="116">
        <v>10960</v>
      </c>
      <c r="K181" s="116">
        <v>11530</v>
      </c>
      <c r="L181" s="116">
        <v>12090</v>
      </c>
      <c r="M181" s="116">
        <v>12450</v>
      </c>
      <c r="N181" s="116">
        <v>13090</v>
      </c>
      <c r="O181" s="116">
        <v>14090</v>
      </c>
      <c r="P181" s="116">
        <v>15280</v>
      </c>
      <c r="Q181" s="116">
        <v>15510</v>
      </c>
      <c r="R181" s="116">
        <v>13960</v>
      </c>
      <c r="S181" s="116">
        <v>15440</v>
      </c>
      <c r="T181" s="116">
        <v>16250</v>
      </c>
      <c r="U181" s="116">
        <v>17150</v>
      </c>
      <c r="V181" s="116">
        <v>20240</v>
      </c>
      <c r="W181" s="116">
        <v>20100</v>
      </c>
      <c r="X181" s="116">
        <v>19790</v>
      </c>
      <c r="Y181" s="116">
        <v>20450</v>
      </c>
      <c r="Z181" s="116">
        <v>20320</v>
      </c>
      <c r="AA181" s="116">
        <v>20650</v>
      </c>
      <c r="AB181" s="116">
        <v>20950</v>
      </c>
      <c r="AC181" s="116">
        <v>21870</v>
      </c>
      <c r="AD181" s="116">
        <v>22470</v>
      </c>
      <c r="AE181" s="116">
        <v>23280</v>
      </c>
      <c r="AF181" s="116">
        <v>23830</v>
      </c>
      <c r="AG181" s="116">
        <v>24370</v>
      </c>
      <c r="AH181" s="116">
        <v>25500</v>
      </c>
      <c r="AI181" s="116">
        <v>25970</v>
      </c>
      <c r="AJ181" s="116">
        <v>27290</v>
      </c>
      <c r="AK181" s="116">
        <v>27880</v>
      </c>
      <c r="AL181" s="116">
        <v>28150</v>
      </c>
      <c r="AM181" s="116">
        <v>27500</v>
      </c>
      <c r="AN181" s="116">
        <v>26720</v>
      </c>
      <c r="AO181" s="116">
        <v>26510</v>
      </c>
      <c r="AP181" s="116">
        <v>26800</v>
      </c>
      <c r="AQ181" s="116">
        <v>27140</v>
      </c>
      <c r="AR181" s="116">
        <v>27640</v>
      </c>
      <c r="AS181" s="116">
        <v>27530</v>
      </c>
      <c r="AT181" s="116">
        <v>28400</v>
      </c>
      <c r="AU181" s="116">
        <v>28100</v>
      </c>
      <c r="AV181" s="116">
        <v>27100</v>
      </c>
      <c r="AW181" s="116">
        <v>26300</v>
      </c>
      <c r="AX181" s="116">
        <v>25550</v>
      </c>
      <c r="AY181" s="116">
        <v>24610</v>
      </c>
      <c r="AZ181" s="116">
        <v>24770</v>
      </c>
      <c r="BA181" s="116">
        <v>24500</v>
      </c>
      <c r="BB181" s="116">
        <v>25430</v>
      </c>
      <c r="BC181" s="116">
        <v>25690</v>
      </c>
      <c r="BD181" s="116">
        <v>26090</v>
      </c>
      <c r="BE181" s="116">
        <v>26630</v>
      </c>
      <c r="BF181" s="116">
        <v>27220</v>
      </c>
    </row>
    <row r="182" spans="1:58" ht="12.75">
      <c r="A182" s="118" t="s">
        <v>388</v>
      </c>
      <c r="B182" s="11"/>
      <c r="C182" s="116">
        <v>10220</v>
      </c>
      <c r="D182" s="116">
        <v>10440</v>
      </c>
      <c r="E182" s="116">
        <v>10390</v>
      </c>
      <c r="F182" s="116">
        <v>10800</v>
      </c>
      <c r="G182" s="116">
        <v>10840</v>
      </c>
      <c r="H182" s="116">
        <v>10490</v>
      </c>
      <c r="I182" s="116">
        <v>10610</v>
      </c>
      <c r="J182" s="116">
        <v>10560</v>
      </c>
      <c r="K182" s="116">
        <v>10640</v>
      </c>
      <c r="L182" s="116">
        <v>11200</v>
      </c>
      <c r="M182" s="116">
        <v>11750</v>
      </c>
      <c r="N182" s="116">
        <v>12110</v>
      </c>
      <c r="O182" s="116">
        <v>12740</v>
      </c>
      <c r="P182" s="116">
        <v>13720</v>
      </c>
      <c r="Q182" s="116">
        <v>14870</v>
      </c>
      <c r="R182" s="116">
        <v>15110</v>
      </c>
      <c r="S182" s="116">
        <v>13610</v>
      </c>
      <c r="T182" s="116">
        <v>15050</v>
      </c>
      <c r="U182" s="116">
        <v>15850</v>
      </c>
      <c r="V182" s="116">
        <v>16730</v>
      </c>
      <c r="W182" s="116">
        <v>19760</v>
      </c>
      <c r="X182" s="116">
        <v>19620</v>
      </c>
      <c r="Y182" s="116">
        <v>19320</v>
      </c>
      <c r="Z182" s="116">
        <v>19980</v>
      </c>
      <c r="AA182" s="116">
        <v>19850</v>
      </c>
      <c r="AB182" s="116">
        <v>20180</v>
      </c>
      <c r="AC182" s="116">
        <v>20480</v>
      </c>
      <c r="AD182" s="116">
        <v>21380</v>
      </c>
      <c r="AE182" s="116">
        <v>21970</v>
      </c>
      <c r="AF182" s="116">
        <v>22770</v>
      </c>
      <c r="AG182" s="116">
        <v>23310</v>
      </c>
      <c r="AH182" s="116">
        <v>23860</v>
      </c>
      <c r="AI182" s="116">
        <v>24970</v>
      </c>
      <c r="AJ182" s="116">
        <v>25430</v>
      </c>
      <c r="AK182" s="116">
        <v>26730</v>
      </c>
      <c r="AL182" s="116">
        <v>27310</v>
      </c>
      <c r="AM182" s="116">
        <v>27580</v>
      </c>
      <c r="AN182" s="116">
        <v>26940</v>
      </c>
      <c r="AO182" s="116">
        <v>26180</v>
      </c>
      <c r="AP182" s="116">
        <v>25980</v>
      </c>
      <c r="AQ182" s="116">
        <v>26270</v>
      </c>
      <c r="AR182" s="116">
        <v>26610</v>
      </c>
      <c r="AS182" s="116">
        <v>27100</v>
      </c>
      <c r="AT182" s="116">
        <v>26990</v>
      </c>
      <c r="AU182" s="116">
        <v>27850</v>
      </c>
      <c r="AV182" s="116">
        <v>27560</v>
      </c>
      <c r="AW182" s="116">
        <v>26580</v>
      </c>
      <c r="AX182" s="116">
        <v>25800</v>
      </c>
      <c r="AY182" s="116">
        <v>25070</v>
      </c>
      <c r="AZ182" s="116">
        <v>24140</v>
      </c>
      <c r="BA182" s="116">
        <v>24300</v>
      </c>
      <c r="BB182" s="116">
        <v>24040</v>
      </c>
      <c r="BC182" s="116">
        <v>24950</v>
      </c>
      <c r="BD182" s="116">
        <v>25200</v>
      </c>
      <c r="BE182" s="116">
        <v>25600</v>
      </c>
      <c r="BF182" s="116">
        <v>26120</v>
      </c>
    </row>
    <row r="183" spans="1:58" ht="12.75">
      <c r="A183" s="118" t="s">
        <v>389</v>
      </c>
      <c r="B183" s="11"/>
      <c r="C183" s="116">
        <v>9890</v>
      </c>
      <c r="D183" s="116">
        <v>9830</v>
      </c>
      <c r="E183" s="116">
        <v>10050</v>
      </c>
      <c r="F183" s="116">
        <v>10020</v>
      </c>
      <c r="G183" s="116">
        <v>10410</v>
      </c>
      <c r="H183" s="116">
        <v>10460</v>
      </c>
      <c r="I183" s="116">
        <v>10130</v>
      </c>
      <c r="J183" s="116">
        <v>10260</v>
      </c>
      <c r="K183" s="116">
        <v>10220</v>
      </c>
      <c r="L183" s="116">
        <v>10300</v>
      </c>
      <c r="M183" s="116">
        <v>10850</v>
      </c>
      <c r="N183" s="116">
        <v>11380</v>
      </c>
      <c r="O183" s="116">
        <v>11740</v>
      </c>
      <c r="P183" s="116">
        <v>12350</v>
      </c>
      <c r="Q183" s="116">
        <v>13310</v>
      </c>
      <c r="R183" s="116">
        <v>14440</v>
      </c>
      <c r="S183" s="116">
        <v>14680</v>
      </c>
      <c r="T183" s="116">
        <v>13220</v>
      </c>
      <c r="U183" s="116">
        <v>14630</v>
      </c>
      <c r="V183" s="116">
        <v>15420</v>
      </c>
      <c r="W183" s="116">
        <v>16270</v>
      </c>
      <c r="X183" s="116">
        <v>19230</v>
      </c>
      <c r="Y183" s="116">
        <v>19100</v>
      </c>
      <c r="Z183" s="116">
        <v>18820</v>
      </c>
      <c r="AA183" s="116">
        <v>19460</v>
      </c>
      <c r="AB183" s="116">
        <v>19350</v>
      </c>
      <c r="AC183" s="116">
        <v>19680</v>
      </c>
      <c r="AD183" s="116">
        <v>19970</v>
      </c>
      <c r="AE183" s="116">
        <v>20860</v>
      </c>
      <c r="AF183" s="116">
        <v>21440</v>
      </c>
      <c r="AG183" s="116">
        <v>22220</v>
      </c>
      <c r="AH183" s="116">
        <v>22760</v>
      </c>
      <c r="AI183" s="116">
        <v>23290</v>
      </c>
      <c r="AJ183" s="116">
        <v>24380</v>
      </c>
      <c r="AK183" s="116">
        <v>24840</v>
      </c>
      <c r="AL183" s="116">
        <v>26110</v>
      </c>
      <c r="AM183" s="116">
        <v>26690</v>
      </c>
      <c r="AN183" s="116">
        <v>26950</v>
      </c>
      <c r="AO183" s="116">
        <v>26330</v>
      </c>
      <c r="AP183" s="116">
        <v>25600</v>
      </c>
      <c r="AQ183" s="116">
        <v>25400</v>
      </c>
      <c r="AR183" s="116">
        <v>25690</v>
      </c>
      <c r="AS183" s="116">
        <v>26020</v>
      </c>
      <c r="AT183" s="116">
        <v>26510</v>
      </c>
      <c r="AU183" s="116">
        <v>26400</v>
      </c>
      <c r="AV183" s="116">
        <v>27240</v>
      </c>
      <c r="AW183" s="116">
        <v>26960</v>
      </c>
      <c r="AX183" s="116">
        <v>26000</v>
      </c>
      <c r="AY183" s="116">
        <v>25250</v>
      </c>
      <c r="AZ183" s="116">
        <v>24530</v>
      </c>
      <c r="BA183" s="116">
        <v>23630</v>
      </c>
      <c r="BB183" s="116">
        <v>23780</v>
      </c>
      <c r="BC183" s="116">
        <v>23520</v>
      </c>
      <c r="BD183" s="116">
        <v>24420</v>
      </c>
      <c r="BE183" s="116">
        <v>24670</v>
      </c>
      <c r="BF183" s="116">
        <v>25060</v>
      </c>
    </row>
    <row r="184" spans="1:58" ht="12.75">
      <c r="A184" s="118" t="s">
        <v>390</v>
      </c>
      <c r="B184" s="11"/>
      <c r="C184" s="116">
        <v>9610</v>
      </c>
      <c r="D184" s="116">
        <v>9460</v>
      </c>
      <c r="E184" s="116">
        <v>9420</v>
      </c>
      <c r="F184" s="116">
        <v>9640</v>
      </c>
      <c r="G184" s="116">
        <v>9610</v>
      </c>
      <c r="H184" s="116">
        <v>10000</v>
      </c>
      <c r="I184" s="116">
        <v>10060</v>
      </c>
      <c r="J184" s="116">
        <v>9750</v>
      </c>
      <c r="K184" s="116">
        <v>9880</v>
      </c>
      <c r="L184" s="116">
        <v>9840</v>
      </c>
      <c r="M184" s="116">
        <v>9930</v>
      </c>
      <c r="N184" s="116">
        <v>10470</v>
      </c>
      <c r="O184" s="116">
        <v>10990</v>
      </c>
      <c r="P184" s="116">
        <v>11340</v>
      </c>
      <c r="Q184" s="116">
        <v>11940</v>
      </c>
      <c r="R184" s="116">
        <v>12870</v>
      </c>
      <c r="S184" s="116">
        <v>13970</v>
      </c>
      <c r="T184" s="116">
        <v>14210</v>
      </c>
      <c r="U184" s="116">
        <v>12810</v>
      </c>
      <c r="V184" s="116">
        <v>14180</v>
      </c>
      <c r="W184" s="116">
        <v>14940</v>
      </c>
      <c r="X184" s="116">
        <v>15780</v>
      </c>
      <c r="Y184" s="116">
        <v>18650</v>
      </c>
      <c r="Z184" s="116">
        <v>18540</v>
      </c>
      <c r="AA184" s="116">
        <v>18270</v>
      </c>
      <c r="AB184" s="116">
        <v>18900</v>
      </c>
      <c r="AC184" s="116">
        <v>18800</v>
      </c>
      <c r="AD184" s="116">
        <v>19120</v>
      </c>
      <c r="AE184" s="116">
        <v>19420</v>
      </c>
      <c r="AF184" s="116">
        <v>20290</v>
      </c>
      <c r="AG184" s="116">
        <v>20860</v>
      </c>
      <c r="AH184" s="116">
        <v>21630</v>
      </c>
      <c r="AI184" s="116">
        <v>22150</v>
      </c>
      <c r="AJ184" s="116">
        <v>22680</v>
      </c>
      <c r="AK184" s="116">
        <v>23740</v>
      </c>
      <c r="AL184" s="116">
        <v>24190</v>
      </c>
      <c r="AM184" s="116">
        <v>25440</v>
      </c>
      <c r="AN184" s="116">
        <v>26000</v>
      </c>
      <c r="AO184" s="116">
        <v>26270</v>
      </c>
      <c r="AP184" s="116">
        <v>25670</v>
      </c>
      <c r="AQ184" s="116">
        <v>24950</v>
      </c>
      <c r="AR184" s="116">
        <v>24770</v>
      </c>
      <c r="AS184" s="116">
        <v>25050</v>
      </c>
      <c r="AT184" s="116">
        <v>25380</v>
      </c>
      <c r="AU184" s="116">
        <v>25850</v>
      </c>
      <c r="AV184" s="116">
        <v>25760</v>
      </c>
      <c r="AW184" s="116">
        <v>26580</v>
      </c>
      <c r="AX184" s="116">
        <v>26310</v>
      </c>
      <c r="AY184" s="116">
        <v>25370</v>
      </c>
      <c r="AZ184" s="116">
        <v>24640</v>
      </c>
      <c r="BA184" s="116">
        <v>23940</v>
      </c>
      <c r="BB184" s="116">
        <v>23060</v>
      </c>
      <c r="BC184" s="116">
        <v>23210</v>
      </c>
      <c r="BD184" s="116">
        <v>22960</v>
      </c>
      <c r="BE184" s="116">
        <v>23830</v>
      </c>
      <c r="BF184" s="116">
        <v>24080</v>
      </c>
    </row>
    <row r="185" spans="1:58" ht="12.75">
      <c r="A185" s="118" t="s">
        <v>391</v>
      </c>
      <c r="B185" s="11"/>
      <c r="C185" s="116">
        <v>8770</v>
      </c>
      <c r="D185" s="116">
        <v>9150</v>
      </c>
      <c r="E185" s="116">
        <v>9020</v>
      </c>
      <c r="F185" s="116">
        <v>8980</v>
      </c>
      <c r="G185" s="116">
        <v>9200</v>
      </c>
      <c r="H185" s="116">
        <v>9190</v>
      </c>
      <c r="I185" s="116">
        <v>9570</v>
      </c>
      <c r="J185" s="116">
        <v>9630</v>
      </c>
      <c r="K185" s="116">
        <v>9340</v>
      </c>
      <c r="L185" s="116">
        <v>9470</v>
      </c>
      <c r="M185" s="116">
        <v>9450</v>
      </c>
      <c r="N185" s="116">
        <v>9540</v>
      </c>
      <c r="O185" s="116">
        <v>10060</v>
      </c>
      <c r="P185" s="116">
        <v>10570</v>
      </c>
      <c r="Q185" s="116">
        <v>10910</v>
      </c>
      <c r="R185" s="116">
        <v>11500</v>
      </c>
      <c r="S185" s="116">
        <v>12400</v>
      </c>
      <c r="T185" s="116">
        <v>13470</v>
      </c>
      <c r="U185" s="116">
        <v>13700</v>
      </c>
      <c r="V185" s="116">
        <v>12360</v>
      </c>
      <c r="W185" s="116">
        <v>13690</v>
      </c>
      <c r="X185" s="116">
        <v>14440</v>
      </c>
      <c r="Y185" s="116">
        <v>15250</v>
      </c>
      <c r="Z185" s="116">
        <v>18030</v>
      </c>
      <c r="AA185" s="116">
        <v>17930</v>
      </c>
      <c r="AB185" s="116">
        <v>17680</v>
      </c>
      <c r="AC185" s="116">
        <v>18300</v>
      </c>
      <c r="AD185" s="116">
        <v>18200</v>
      </c>
      <c r="AE185" s="116">
        <v>18530</v>
      </c>
      <c r="AF185" s="116">
        <v>18820</v>
      </c>
      <c r="AG185" s="116">
        <v>19660</v>
      </c>
      <c r="AH185" s="116">
        <v>20220</v>
      </c>
      <c r="AI185" s="116">
        <v>20980</v>
      </c>
      <c r="AJ185" s="116">
        <v>21490</v>
      </c>
      <c r="AK185" s="116">
        <v>22000</v>
      </c>
      <c r="AL185" s="116">
        <v>23050</v>
      </c>
      <c r="AM185" s="116">
        <v>23490</v>
      </c>
      <c r="AN185" s="116">
        <v>24700</v>
      </c>
      <c r="AO185" s="116">
        <v>25260</v>
      </c>
      <c r="AP185" s="116">
        <v>25520</v>
      </c>
      <c r="AQ185" s="116">
        <v>24940</v>
      </c>
      <c r="AR185" s="116">
        <v>24250</v>
      </c>
      <c r="AS185" s="116">
        <v>24070</v>
      </c>
      <c r="AT185" s="116">
        <v>24350</v>
      </c>
      <c r="AU185" s="116">
        <v>24670</v>
      </c>
      <c r="AV185" s="116">
        <v>25140</v>
      </c>
      <c r="AW185" s="116">
        <v>25050</v>
      </c>
      <c r="AX185" s="116">
        <v>25850</v>
      </c>
      <c r="AY185" s="116">
        <v>25590</v>
      </c>
      <c r="AZ185" s="116">
        <v>24680</v>
      </c>
      <c r="BA185" s="116">
        <v>23970</v>
      </c>
      <c r="BB185" s="116">
        <v>23290</v>
      </c>
      <c r="BC185" s="116">
        <v>22440</v>
      </c>
      <c r="BD185" s="116">
        <v>22580</v>
      </c>
      <c r="BE185" s="116">
        <v>22340</v>
      </c>
      <c r="BF185" s="116">
        <v>23190</v>
      </c>
    </row>
    <row r="186" spans="1:58" ht="12.75">
      <c r="A186" s="118" t="s">
        <v>392</v>
      </c>
      <c r="B186" s="11"/>
      <c r="C186" s="116">
        <v>8030</v>
      </c>
      <c r="D186" s="116">
        <v>8290</v>
      </c>
      <c r="E186" s="116">
        <v>8660</v>
      </c>
      <c r="F186" s="116">
        <v>8540</v>
      </c>
      <c r="G186" s="116">
        <v>8520</v>
      </c>
      <c r="H186" s="116">
        <v>8740</v>
      </c>
      <c r="I186" s="116">
        <v>8730</v>
      </c>
      <c r="J186" s="116">
        <v>9100</v>
      </c>
      <c r="K186" s="116">
        <v>9170</v>
      </c>
      <c r="L186" s="116">
        <v>8900</v>
      </c>
      <c r="M186" s="116">
        <v>9040</v>
      </c>
      <c r="N186" s="116">
        <v>9020</v>
      </c>
      <c r="O186" s="116">
        <v>9110</v>
      </c>
      <c r="P186" s="116">
        <v>9620</v>
      </c>
      <c r="Q186" s="116">
        <v>10110</v>
      </c>
      <c r="R186" s="116">
        <v>10450</v>
      </c>
      <c r="S186" s="116">
        <v>11020</v>
      </c>
      <c r="T186" s="116">
        <v>11900</v>
      </c>
      <c r="U186" s="116">
        <v>12930</v>
      </c>
      <c r="V186" s="116">
        <v>13160</v>
      </c>
      <c r="W186" s="116">
        <v>11880</v>
      </c>
      <c r="X186" s="116">
        <v>13160</v>
      </c>
      <c r="Y186" s="116">
        <v>13890</v>
      </c>
      <c r="Z186" s="116">
        <v>14680</v>
      </c>
      <c r="AA186" s="116">
        <v>17370</v>
      </c>
      <c r="AB186" s="116">
        <v>17280</v>
      </c>
      <c r="AC186" s="116">
        <v>17040</v>
      </c>
      <c r="AD186" s="116">
        <v>17640</v>
      </c>
      <c r="AE186" s="116">
        <v>17560</v>
      </c>
      <c r="AF186" s="116">
        <v>17880</v>
      </c>
      <c r="AG186" s="116">
        <v>18170</v>
      </c>
      <c r="AH186" s="116">
        <v>18990</v>
      </c>
      <c r="AI186" s="116">
        <v>19540</v>
      </c>
      <c r="AJ186" s="116">
        <v>20270</v>
      </c>
      <c r="AK186" s="116">
        <v>20770</v>
      </c>
      <c r="AL186" s="116">
        <v>21270</v>
      </c>
      <c r="AM186" s="116">
        <v>22290</v>
      </c>
      <c r="AN186" s="116">
        <v>22720</v>
      </c>
      <c r="AO186" s="116">
        <v>23900</v>
      </c>
      <c r="AP186" s="116">
        <v>24440</v>
      </c>
      <c r="AQ186" s="116">
        <v>24700</v>
      </c>
      <c r="AR186" s="116">
        <v>24150</v>
      </c>
      <c r="AS186" s="116">
        <v>23480</v>
      </c>
      <c r="AT186" s="116">
        <v>23310</v>
      </c>
      <c r="AU186" s="116">
        <v>23590</v>
      </c>
      <c r="AV186" s="116">
        <v>23900</v>
      </c>
      <c r="AW186" s="116">
        <v>24360</v>
      </c>
      <c r="AX186" s="116">
        <v>24270</v>
      </c>
      <c r="AY186" s="116">
        <v>25050</v>
      </c>
      <c r="AZ186" s="116">
        <v>24800</v>
      </c>
      <c r="BA186" s="116">
        <v>23920</v>
      </c>
      <c r="BB186" s="116">
        <v>23230</v>
      </c>
      <c r="BC186" s="116">
        <v>22580</v>
      </c>
      <c r="BD186" s="116">
        <v>21750</v>
      </c>
      <c r="BE186" s="116">
        <v>21890</v>
      </c>
      <c r="BF186" s="116">
        <v>21660</v>
      </c>
    </row>
    <row r="187" spans="1:58" ht="12.75">
      <c r="A187" s="118" t="s">
        <v>393</v>
      </c>
      <c r="B187" s="11"/>
      <c r="C187" s="116">
        <v>7700</v>
      </c>
      <c r="D187" s="116">
        <v>7530</v>
      </c>
      <c r="E187" s="116">
        <v>7790</v>
      </c>
      <c r="F187" s="116">
        <v>8140</v>
      </c>
      <c r="G187" s="116">
        <v>8050</v>
      </c>
      <c r="H187" s="116">
        <v>8040</v>
      </c>
      <c r="I187" s="116">
        <v>8250</v>
      </c>
      <c r="J187" s="116">
        <v>8260</v>
      </c>
      <c r="K187" s="116">
        <v>8610</v>
      </c>
      <c r="L187" s="116">
        <v>8690</v>
      </c>
      <c r="M187" s="116">
        <v>8440</v>
      </c>
      <c r="N187" s="116">
        <v>8580</v>
      </c>
      <c r="O187" s="116">
        <v>8570</v>
      </c>
      <c r="P187" s="116">
        <v>8670</v>
      </c>
      <c r="Q187" s="116">
        <v>9160</v>
      </c>
      <c r="R187" s="116">
        <v>9630</v>
      </c>
      <c r="S187" s="116">
        <v>9960</v>
      </c>
      <c r="T187" s="116">
        <v>10510</v>
      </c>
      <c r="U187" s="116">
        <v>11350</v>
      </c>
      <c r="V187" s="116">
        <v>12350</v>
      </c>
      <c r="W187" s="116">
        <v>12580</v>
      </c>
      <c r="X187" s="116">
        <v>11360</v>
      </c>
      <c r="Y187" s="116">
        <v>12600</v>
      </c>
      <c r="Z187" s="116">
        <v>13300</v>
      </c>
      <c r="AA187" s="116">
        <v>14060</v>
      </c>
      <c r="AB187" s="116">
        <v>16640</v>
      </c>
      <c r="AC187" s="116">
        <v>16570</v>
      </c>
      <c r="AD187" s="116">
        <v>16350</v>
      </c>
      <c r="AE187" s="116">
        <v>16930</v>
      </c>
      <c r="AF187" s="116">
        <v>16860</v>
      </c>
      <c r="AG187" s="116">
        <v>17170</v>
      </c>
      <c r="AH187" s="116">
        <v>17460</v>
      </c>
      <c r="AI187" s="116">
        <v>18260</v>
      </c>
      <c r="AJ187" s="116">
        <v>18790</v>
      </c>
      <c r="AK187" s="116">
        <v>19500</v>
      </c>
      <c r="AL187" s="116">
        <v>19990</v>
      </c>
      <c r="AM187" s="116">
        <v>20480</v>
      </c>
      <c r="AN187" s="116">
        <v>21460</v>
      </c>
      <c r="AO187" s="116">
        <v>21890</v>
      </c>
      <c r="AP187" s="116">
        <v>23030</v>
      </c>
      <c r="AQ187" s="116">
        <v>23550</v>
      </c>
      <c r="AR187" s="116">
        <v>23810</v>
      </c>
      <c r="AS187" s="116">
        <v>23280</v>
      </c>
      <c r="AT187" s="116">
        <v>22640</v>
      </c>
      <c r="AU187" s="116">
        <v>22480</v>
      </c>
      <c r="AV187" s="116">
        <v>22750</v>
      </c>
      <c r="AW187" s="116">
        <v>23060</v>
      </c>
      <c r="AX187" s="116">
        <v>23500</v>
      </c>
      <c r="AY187" s="116">
        <v>23420</v>
      </c>
      <c r="AZ187" s="116">
        <v>24180</v>
      </c>
      <c r="BA187" s="116">
        <v>23930</v>
      </c>
      <c r="BB187" s="116">
        <v>23090</v>
      </c>
      <c r="BC187" s="116">
        <v>22420</v>
      </c>
      <c r="BD187" s="116">
        <v>21790</v>
      </c>
      <c r="BE187" s="116">
        <v>21000</v>
      </c>
      <c r="BF187" s="116">
        <v>21130</v>
      </c>
    </row>
    <row r="188" spans="1:58" ht="12.75">
      <c r="A188" s="118" t="s">
        <v>394</v>
      </c>
      <c r="B188" s="11"/>
      <c r="C188" s="116">
        <v>6940</v>
      </c>
      <c r="D188" s="116">
        <v>7160</v>
      </c>
      <c r="E188" s="116">
        <v>7010</v>
      </c>
      <c r="F188" s="116">
        <v>7260</v>
      </c>
      <c r="G188" s="116">
        <v>7600</v>
      </c>
      <c r="H188" s="116">
        <v>7520</v>
      </c>
      <c r="I188" s="116">
        <v>7530</v>
      </c>
      <c r="J188" s="116">
        <v>7730</v>
      </c>
      <c r="K188" s="116">
        <v>7750</v>
      </c>
      <c r="L188" s="116">
        <v>8100</v>
      </c>
      <c r="M188" s="116">
        <v>8180</v>
      </c>
      <c r="N188" s="116">
        <v>7950</v>
      </c>
      <c r="O188" s="116">
        <v>8090</v>
      </c>
      <c r="P188" s="116">
        <v>8090</v>
      </c>
      <c r="Q188" s="116">
        <v>8190</v>
      </c>
      <c r="R188" s="116">
        <v>8660</v>
      </c>
      <c r="S188" s="116">
        <v>9120</v>
      </c>
      <c r="T188" s="116">
        <v>9440</v>
      </c>
      <c r="U188" s="116">
        <v>9970</v>
      </c>
      <c r="V188" s="116">
        <v>10770</v>
      </c>
      <c r="W188" s="116">
        <v>11730</v>
      </c>
      <c r="X188" s="116">
        <v>11950</v>
      </c>
      <c r="Y188" s="116">
        <v>10800</v>
      </c>
      <c r="Z188" s="116">
        <v>11990</v>
      </c>
      <c r="AA188" s="116">
        <v>12660</v>
      </c>
      <c r="AB188" s="116">
        <v>13400</v>
      </c>
      <c r="AC188" s="116">
        <v>15870</v>
      </c>
      <c r="AD188" s="116">
        <v>15800</v>
      </c>
      <c r="AE188" s="116">
        <v>15600</v>
      </c>
      <c r="AF188" s="116">
        <v>16170</v>
      </c>
      <c r="AG188" s="116">
        <v>16110</v>
      </c>
      <c r="AH188" s="116">
        <v>16410</v>
      </c>
      <c r="AI188" s="116">
        <v>16690</v>
      </c>
      <c r="AJ188" s="116">
        <v>17460</v>
      </c>
      <c r="AK188" s="116">
        <v>17980</v>
      </c>
      <c r="AL188" s="116">
        <v>18670</v>
      </c>
      <c r="AM188" s="116">
        <v>19140</v>
      </c>
      <c r="AN188" s="116">
        <v>19620</v>
      </c>
      <c r="AO188" s="116">
        <v>20560</v>
      </c>
      <c r="AP188" s="116">
        <v>20980</v>
      </c>
      <c r="AQ188" s="116">
        <v>22080</v>
      </c>
      <c r="AR188" s="116">
        <v>22590</v>
      </c>
      <c r="AS188" s="116">
        <v>22840</v>
      </c>
      <c r="AT188" s="116">
        <v>22330</v>
      </c>
      <c r="AU188" s="116">
        <v>21730</v>
      </c>
      <c r="AV188" s="116">
        <v>21580</v>
      </c>
      <c r="AW188" s="116">
        <v>21840</v>
      </c>
      <c r="AX188" s="116">
        <v>22140</v>
      </c>
      <c r="AY188" s="116">
        <v>22560</v>
      </c>
      <c r="AZ188" s="116">
        <v>22490</v>
      </c>
      <c r="BA188" s="116">
        <v>23220</v>
      </c>
      <c r="BB188" s="116">
        <v>22990</v>
      </c>
      <c r="BC188" s="116">
        <v>22180</v>
      </c>
      <c r="BD188" s="116">
        <v>21540</v>
      </c>
      <c r="BE188" s="116">
        <v>20930</v>
      </c>
      <c r="BF188" s="116">
        <v>20170</v>
      </c>
    </row>
    <row r="189" spans="1:58" ht="12.75">
      <c r="A189" s="118" t="s">
        <v>395</v>
      </c>
      <c r="B189" s="11"/>
      <c r="C189" s="116">
        <v>6240</v>
      </c>
      <c r="D189" s="116">
        <v>6380</v>
      </c>
      <c r="E189" s="116">
        <v>6600</v>
      </c>
      <c r="F189" s="116">
        <v>6470</v>
      </c>
      <c r="G189" s="116">
        <v>6710</v>
      </c>
      <c r="H189" s="116">
        <v>7040</v>
      </c>
      <c r="I189" s="116">
        <v>6980</v>
      </c>
      <c r="J189" s="116">
        <v>6990</v>
      </c>
      <c r="K189" s="116">
        <v>7190</v>
      </c>
      <c r="L189" s="116">
        <v>7220</v>
      </c>
      <c r="M189" s="116">
        <v>7550</v>
      </c>
      <c r="N189" s="116">
        <v>7630</v>
      </c>
      <c r="O189" s="116">
        <v>7440</v>
      </c>
      <c r="P189" s="116">
        <v>7570</v>
      </c>
      <c r="Q189" s="116">
        <v>7580</v>
      </c>
      <c r="R189" s="116">
        <v>7680</v>
      </c>
      <c r="S189" s="116">
        <v>8130</v>
      </c>
      <c r="T189" s="116">
        <v>8570</v>
      </c>
      <c r="U189" s="116">
        <v>8880</v>
      </c>
      <c r="V189" s="116">
        <v>9390</v>
      </c>
      <c r="W189" s="116">
        <v>10150</v>
      </c>
      <c r="X189" s="116">
        <v>11060</v>
      </c>
      <c r="Y189" s="116">
        <v>11280</v>
      </c>
      <c r="Z189" s="116">
        <v>10210</v>
      </c>
      <c r="AA189" s="116">
        <v>11330</v>
      </c>
      <c r="AB189" s="116">
        <v>11980</v>
      </c>
      <c r="AC189" s="116">
        <v>12690</v>
      </c>
      <c r="AD189" s="116">
        <v>15030</v>
      </c>
      <c r="AE189" s="116">
        <v>14980</v>
      </c>
      <c r="AF189" s="116">
        <v>14800</v>
      </c>
      <c r="AG189" s="116">
        <v>15350</v>
      </c>
      <c r="AH189" s="116">
        <v>15290</v>
      </c>
      <c r="AI189" s="116">
        <v>15590</v>
      </c>
      <c r="AJ189" s="116">
        <v>15860</v>
      </c>
      <c r="AK189" s="116">
        <v>16600</v>
      </c>
      <c r="AL189" s="116">
        <v>17100</v>
      </c>
      <c r="AM189" s="116">
        <v>17760</v>
      </c>
      <c r="AN189" s="116">
        <v>18220</v>
      </c>
      <c r="AO189" s="116">
        <v>18680</v>
      </c>
      <c r="AP189" s="116">
        <v>19590</v>
      </c>
      <c r="AQ189" s="116">
        <v>19990</v>
      </c>
      <c r="AR189" s="116">
        <v>21040</v>
      </c>
      <c r="AS189" s="116">
        <v>21530</v>
      </c>
      <c r="AT189" s="116">
        <v>21780</v>
      </c>
      <c r="AU189" s="116">
        <v>21300</v>
      </c>
      <c r="AV189" s="116">
        <v>20730</v>
      </c>
      <c r="AW189" s="116">
        <v>20590</v>
      </c>
      <c r="AX189" s="116">
        <v>20840</v>
      </c>
      <c r="AY189" s="116">
        <v>21130</v>
      </c>
      <c r="AZ189" s="116">
        <v>21540</v>
      </c>
      <c r="BA189" s="116">
        <v>21470</v>
      </c>
      <c r="BB189" s="116">
        <v>22170</v>
      </c>
      <c r="BC189" s="116">
        <v>21950</v>
      </c>
      <c r="BD189" s="116">
        <v>21180</v>
      </c>
      <c r="BE189" s="116">
        <v>20570</v>
      </c>
      <c r="BF189" s="116">
        <v>19990</v>
      </c>
    </row>
    <row r="190" spans="1:58" ht="12.75">
      <c r="A190" s="118" t="s">
        <v>396</v>
      </c>
      <c r="B190" s="11"/>
      <c r="C190" s="116">
        <v>4700</v>
      </c>
      <c r="D190" s="116">
        <v>5660</v>
      </c>
      <c r="E190" s="116">
        <v>5810</v>
      </c>
      <c r="F190" s="116">
        <v>6020</v>
      </c>
      <c r="G190" s="116">
        <v>5910</v>
      </c>
      <c r="H190" s="116">
        <v>6150</v>
      </c>
      <c r="I190" s="116">
        <v>6460</v>
      </c>
      <c r="J190" s="116">
        <v>6410</v>
      </c>
      <c r="K190" s="116">
        <v>6430</v>
      </c>
      <c r="L190" s="116">
        <v>6630</v>
      </c>
      <c r="M190" s="116">
        <v>6660</v>
      </c>
      <c r="N190" s="116">
        <v>6980</v>
      </c>
      <c r="O190" s="116">
        <v>7070</v>
      </c>
      <c r="P190" s="116">
        <v>6890</v>
      </c>
      <c r="Q190" s="116">
        <v>7030</v>
      </c>
      <c r="R190" s="116">
        <v>7050</v>
      </c>
      <c r="S190" s="116">
        <v>7150</v>
      </c>
      <c r="T190" s="116">
        <v>7570</v>
      </c>
      <c r="U190" s="116">
        <v>7990</v>
      </c>
      <c r="V190" s="116">
        <v>8290</v>
      </c>
      <c r="W190" s="116">
        <v>8770</v>
      </c>
      <c r="X190" s="116">
        <v>9500</v>
      </c>
      <c r="Y190" s="116">
        <v>10350</v>
      </c>
      <c r="Z190" s="116">
        <v>10570</v>
      </c>
      <c r="AA190" s="116">
        <v>9570</v>
      </c>
      <c r="AB190" s="116">
        <v>10640</v>
      </c>
      <c r="AC190" s="116">
        <v>11250</v>
      </c>
      <c r="AD190" s="116">
        <v>11920</v>
      </c>
      <c r="AE190" s="116">
        <v>14140</v>
      </c>
      <c r="AF190" s="116">
        <v>14100</v>
      </c>
      <c r="AG190" s="116">
        <v>13940</v>
      </c>
      <c r="AH190" s="116">
        <v>14460</v>
      </c>
      <c r="AI190" s="116">
        <v>14420</v>
      </c>
      <c r="AJ190" s="116">
        <v>14710</v>
      </c>
      <c r="AK190" s="116">
        <v>14970</v>
      </c>
      <c r="AL190" s="116">
        <v>15680</v>
      </c>
      <c r="AM190" s="116">
        <v>16160</v>
      </c>
      <c r="AN190" s="116">
        <v>16790</v>
      </c>
      <c r="AO190" s="116">
        <v>17230</v>
      </c>
      <c r="AP190" s="116">
        <v>17670</v>
      </c>
      <c r="AQ190" s="116">
        <v>18540</v>
      </c>
      <c r="AR190" s="116">
        <v>18920</v>
      </c>
      <c r="AS190" s="116">
        <v>19920</v>
      </c>
      <c r="AT190" s="116">
        <v>20400</v>
      </c>
      <c r="AU190" s="116">
        <v>20630</v>
      </c>
      <c r="AV190" s="116">
        <v>20190</v>
      </c>
      <c r="AW190" s="116">
        <v>19650</v>
      </c>
      <c r="AX190" s="116">
        <v>19520</v>
      </c>
      <c r="AY190" s="116">
        <v>19760</v>
      </c>
      <c r="AZ190" s="116">
        <v>20040</v>
      </c>
      <c r="BA190" s="116">
        <v>20430</v>
      </c>
      <c r="BB190" s="116">
        <v>20370</v>
      </c>
      <c r="BC190" s="116">
        <v>21030</v>
      </c>
      <c r="BD190" s="116">
        <v>20820</v>
      </c>
      <c r="BE190" s="116">
        <v>20090</v>
      </c>
      <c r="BF190" s="116">
        <v>19510</v>
      </c>
    </row>
    <row r="191" spans="1:58" ht="12.75">
      <c r="A191" s="118" t="s">
        <v>397</v>
      </c>
      <c r="B191" s="11"/>
      <c r="C191" s="116">
        <v>4260</v>
      </c>
      <c r="D191" s="116">
        <v>4210</v>
      </c>
      <c r="E191" s="116">
        <v>5080</v>
      </c>
      <c r="F191" s="116">
        <v>5220</v>
      </c>
      <c r="G191" s="116">
        <v>5420</v>
      </c>
      <c r="H191" s="116">
        <v>5340</v>
      </c>
      <c r="I191" s="116">
        <v>5560</v>
      </c>
      <c r="J191" s="116">
        <v>5860</v>
      </c>
      <c r="K191" s="116">
        <v>5830</v>
      </c>
      <c r="L191" s="116">
        <v>5860</v>
      </c>
      <c r="M191" s="116">
        <v>6050</v>
      </c>
      <c r="N191" s="116">
        <v>6090</v>
      </c>
      <c r="O191" s="116">
        <v>6390</v>
      </c>
      <c r="P191" s="116">
        <v>6480</v>
      </c>
      <c r="Q191" s="116">
        <v>6330</v>
      </c>
      <c r="R191" s="116">
        <v>6460</v>
      </c>
      <c r="S191" s="116">
        <v>6490</v>
      </c>
      <c r="T191" s="116">
        <v>6590</v>
      </c>
      <c r="U191" s="116">
        <v>6990</v>
      </c>
      <c r="V191" s="116">
        <v>7390</v>
      </c>
      <c r="W191" s="116">
        <v>7670</v>
      </c>
      <c r="X191" s="116">
        <v>8120</v>
      </c>
      <c r="Y191" s="116">
        <v>8810</v>
      </c>
      <c r="Z191" s="116">
        <v>9610</v>
      </c>
      <c r="AA191" s="116">
        <v>9820</v>
      </c>
      <c r="AB191" s="116">
        <v>8900</v>
      </c>
      <c r="AC191" s="116">
        <v>9900</v>
      </c>
      <c r="AD191" s="116">
        <v>10480</v>
      </c>
      <c r="AE191" s="116">
        <v>11120</v>
      </c>
      <c r="AF191" s="116">
        <v>13190</v>
      </c>
      <c r="AG191" s="116">
        <v>13160</v>
      </c>
      <c r="AH191" s="116">
        <v>13020</v>
      </c>
      <c r="AI191" s="116">
        <v>13520</v>
      </c>
      <c r="AJ191" s="116">
        <v>13490</v>
      </c>
      <c r="AK191" s="116">
        <v>13770</v>
      </c>
      <c r="AL191" s="116">
        <v>14020</v>
      </c>
      <c r="AM191" s="116">
        <v>14690</v>
      </c>
      <c r="AN191" s="116">
        <v>15150</v>
      </c>
      <c r="AO191" s="116">
        <v>15750</v>
      </c>
      <c r="AP191" s="116">
        <v>16170</v>
      </c>
      <c r="AQ191" s="116">
        <v>16590</v>
      </c>
      <c r="AR191" s="116">
        <v>17410</v>
      </c>
      <c r="AS191" s="116">
        <v>17770</v>
      </c>
      <c r="AT191" s="116">
        <v>18720</v>
      </c>
      <c r="AU191" s="116">
        <v>19170</v>
      </c>
      <c r="AV191" s="116">
        <v>19400</v>
      </c>
      <c r="AW191" s="116">
        <v>18980</v>
      </c>
      <c r="AX191" s="116">
        <v>18480</v>
      </c>
      <c r="AY191" s="116">
        <v>18370</v>
      </c>
      <c r="AZ191" s="116">
        <v>18600</v>
      </c>
      <c r="BA191" s="116">
        <v>18860</v>
      </c>
      <c r="BB191" s="116">
        <v>19230</v>
      </c>
      <c r="BC191" s="116">
        <v>19170</v>
      </c>
      <c r="BD191" s="116">
        <v>19800</v>
      </c>
      <c r="BE191" s="116">
        <v>19600</v>
      </c>
      <c r="BF191" s="116">
        <v>18920</v>
      </c>
    </row>
    <row r="192" spans="1:58" ht="12.75">
      <c r="A192" s="118" t="s">
        <v>398</v>
      </c>
      <c r="B192" s="11"/>
      <c r="C192" s="116">
        <v>3770</v>
      </c>
      <c r="D192" s="116">
        <v>3750</v>
      </c>
      <c r="E192" s="116">
        <v>3720</v>
      </c>
      <c r="F192" s="116">
        <v>4500</v>
      </c>
      <c r="G192" s="116">
        <v>4640</v>
      </c>
      <c r="H192" s="116">
        <v>4830</v>
      </c>
      <c r="I192" s="116">
        <v>4760</v>
      </c>
      <c r="J192" s="116">
        <v>4980</v>
      </c>
      <c r="K192" s="116">
        <v>5250</v>
      </c>
      <c r="L192" s="116">
        <v>5230</v>
      </c>
      <c r="M192" s="116">
        <v>5270</v>
      </c>
      <c r="N192" s="116">
        <v>5450</v>
      </c>
      <c r="O192" s="116">
        <v>5500</v>
      </c>
      <c r="P192" s="116">
        <v>5780</v>
      </c>
      <c r="Q192" s="116">
        <v>5870</v>
      </c>
      <c r="R192" s="116">
        <v>5750</v>
      </c>
      <c r="S192" s="116">
        <v>5880</v>
      </c>
      <c r="T192" s="116">
        <v>5910</v>
      </c>
      <c r="U192" s="116">
        <v>6010</v>
      </c>
      <c r="V192" s="116">
        <v>6390</v>
      </c>
      <c r="W192" s="116">
        <v>6760</v>
      </c>
      <c r="X192" s="116">
        <v>7020</v>
      </c>
      <c r="Y192" s="116">
        <v>7450</v>
      </c>
      <c r="Z192" s="116">
        <v>8080</v>
      </c>
      <c r="AA192" s="116">
        <v>8830</v>
      </c>
      <c r="AB192" s="116">
        <v>9040</v>
      </c>
      <c r="AC192" s="116">
        <v>8200</v>
      </c>
      <c r="AD192" s="116">
        <v>9130</v>
      </c>
      <c r="AE192" s="116">
        <v>9670</v>
      </c>
      <c r="AF192" s="116">
        <v>10270</v>
      </c>
      <c r="AG192" s="116">
        <v>12190</v>
      </c>
      <c r="AH192" s="116">
        <v>12180</v>
      </c>
      <c r="AI192" s="116">
        <v>12050</v>
      </c>
      <c r="AJ192" s="116">
        <v>12520</v>
      </c>
      <c r="AK192" s="116">
        <v>12510</v>
      </c>
      <c r="AL192" s="116">
        <v>12770</v>
      </c>
      <c r="AM192" s="116">
        <v>13020</v>
      </c>
      <c r="AN192" s="116">
        <v>13640</v>
      </c>
      <c r="AO192" s="116">
        <v>14080</v>
      </c>
      <c r="AP192" s="116">
        <v>14640</v>
      </c>
      <c r="AQ192" s="116">
        <v>15040</v>
      </c>
      <c r="AR192" s="116">
        <v>15440</v>
      </c>
      <c r="AS192" s="116">
        <v>16200</v>
      </c>
      <c r="AT192" s="116">
        <v>16550</v>
      </c>
      <c r="AU192" s="116">
        <v>17440</v>
      </c>
      <c r="AV192" s="116">
        <v>17860</v>
      </c>
      <c r="AW192" s="116">
        <v>18080</v>
      </c>
      <c r="AX192" s="116">
        <v>17700</v>
      </c>
      <c r="AY192" s="116">
        <v>17240</v>
      </c>
      <c r="AZ192" s="116">
        <v>17130</v>
      </c>
      <c r="BA192" s="116">
        <v>17350</v>
      </c>
      <c r="BB192" s="116">
        <v>17590</v>
      </c>
      <c r="BC192" s="116">
        <v>17940</v>
      </c>
      <c r="BD192" s="116">
        <v>17890</v>
      </c>
      <c r="BE192" s="116">
        <v>18480</v>
      </c>
      <c r="BF192" s="116">
        <v>18300</v>
      </c>
    </row>
    <row r="193" spans="1:58" ht="12.75">
      <c r="A193" s="118" t="s">
        <v>399</v>
      </c>
      <c r="B193" s="11"/>
      <c r="C193" s="116">
        <v>14040</v>
      </c>
      <c r="D193" s="116">
        <v>14420</v>
      </c>
      <c r="E193" s="116">
        <v>14780</v>
      </c>
      <c r="F193" s="116">
        <v>15090</v>
      </c>
      <c r="G193" s="116">
        <v>16080</v>
      </c>
      <c r="H193" s="116">
        <v>17090</v>
      </c>
      <c r="I193" s="116">
        <v>18150</v>
      </c>
      <c r="J193" s="116">
        <v>19040</v>
      </c>
      <c r="K193" s="116">
        <v>20010</v>
      </c>
      <c r="L193" s="116">
        <v>21110</v>
      </c>
      <c r="M193" s="116">
        <v>22070</v>
      </c>
      <c r="N193" s="116">
        <v>22950</v>
      </c>
      <c r="O193" s="116">
        <v>23900</v>
      </c>
      <c r="P193" s="116">
        <v>24780</v>
      </c>
      <c r="Q193" s="116">
        <v>25810</v>
      </c>
      <c r="R193" s="116">
        <v>26820</v>
      </c>
      <c r="S193" s="116">
        <v>27600</v>
      </c>
      <c r="T193" s="116">
        <v>28430</v>
      </c>
      <c r="U193" s="116">
        <v>29190</v>
      </c>
      <c r="V193" s="116">
        <v>29980</v>
      </c>
      <c r="W193" s="116">
        <v>31030</v>
      </c>
      <c r="X193" s="116">
        <v>32320</v>
      </c>
      <c r="Y193" s="116">
        <v>33730</v>
      </c>
      <c r="Z193" s="116">
        <v>35380</v>
      </c>
      <c r="AA193" s="116">
        <v>37430</v>
      </c>
      <c r="AB193" s="116">
        <v>39950</v>
      </c>
      <c r="AC193" s="116">
        <v>42390</v>
      </c>
      <c r="AD193" s="116">
        <v>43790</v>
      </c>
      <c r="AE193" s="116">
        <v>45860</v>
      </c>
      <c r="AF193" s="116">
        <v>48190</v>
      </c>
      <c r="AG193" s="116">
        <v>50800</v>
      </c>
      <c r="AH193" s="116">
        <v>54870</v>
      </c>
      <c r="AI193" s="116">
        <v>58490</v>
      </c>
      <c r="AJ193" s="116">
        <v>61590</v>
      </c>
      <c r="AK193" s="116">
        <v>64730</v>
      </c>
      <c r="AL193" s="116">
        <v>67480</v>
      </c>
      <c r="AM193" s="116">
        <v>70120</v>
      </c>
      <c r="AN193" s="116">
        <v>72650</v>
      </c>
      <c r="AO193" s="116">
        <v>75440</v>
      </c>
      <c r="AP193" s="116">
        <v>78280</v>
      </c>
      <c r="AQ193" s="116">
        <v>81290</v>
      </c>
      <c r="AR193" s="116">
        <v>84310</v>
      </c>
      <c r="AS193" s="116">
        <v>87320</v>
      </c>
      <c r="AT193" s="116">
        <v>90670</v>
      </c>
      <c r="AU193" s="116">
        <v>93950</v>
      </c>
      <c r="AV193" s="116">
        <v>97660</v>
      </c>
      <c r="AW193" s="116">
        <v>101330</v>
      </c>
      <c r="AX193" s="116">
        <v>104750</v>
      </c>
      <c r="AY193" s="116">
        <v>107400</v>
      </c>
      <c r="AZ193" s="116">
        <v>109240</v>
      </c>
      <c r="BA193" s="116">
        <v>110690</v>
      </c>
      <c r="BB193" s="116">
        <v>112090</v>
      </c>
      <c r="BC193" s="116">
        <v>113470</v>
      </c>
      <c r="BD193" s="116">
        <v>114940</v>
      </c>
      <c r="BE193" s="116">
        <v>116140</v>
      </c>
      <c r="BF193" s="116">
        <v>117670</v>
      </c>
    </row>
    <row r="194" spans="1:58" ht="12.75">
      <c r="A194" s="117" t="s">
        <v>402</v>
      </c>
      <c r="B194" s="11"/>
      <c r="C194" s="200">
        <f aca="true" t="shared" si="4" ref="C194:AH194">SUM(C$103:C$193)/1000000</f>
        <v>2.13625</v>
      </c>
      <c r="D194" s="200">
        <f t="shared" si="4"/>
        <v>2.15722</v>
      </c>
      <c r="E194" s="200">
        <f t="shared" si="4"/>
        <v>2.1768</v>
      </c>
      <c r="F194" s="200">
        <f t="shared" si="4"/>
        <v>2.19715</v>
      </c>
      <c r="G194" s="200">
        <f t="shared" si="4"/>
        <v>2.21762</v>
      </c>
      <c r="H194" s="200">
        <f t="shared" si="4"/>
        <v>2.23786</v>
      </c>
      <c r="I194" s="200">
        <f t="shared" si="4"/>
        <v>2.25767</v>
      </c>
      <c r="J194" s="200">
        <f t="shared" si="4"/>
        <v>2.27716</v>
      </c>
      <c r="K194" s="200">
        <f t="shared" si="4"/>
        <v>2.29644</v>
      </c>
      <c r="L194" s="200">
        <f t="shared" si="4"/>
        <v>2.3155</v>
      </c>
      <c r="M194" s="200">
        <f t="shared" si="4"/>
        <v>2.33429</v>
      </c>
      <c r="N194" s="200">
        <f t="shared" si="4"/>
        <v>2.35287</v>
      </c>
      <c r="O194" s="200">
        <f t="shared" si="4"/>
        <v>2.37128</v>
      </c>
      <c r="P194" s="200">
        <f t="shared" si="4"/>
        <v>2.3894</v>
      </c>
      <c r="Q194" s="200">
        <f t="shared" si="4"/>
        <v>2.40736</v>
      </c>
      <c r="R194" s="200">
        <f t="shared" si="4"/>
        <v>2.42514</v>
      </c>
      <c r="S194" s="200">
        <f t="shared" si="4"/>
        <v>2.44262</v>
      </c>
      <c r="T194" s="200">
        <f t="shared" si="4"/>
        <v>2.4599</v>
      </c>
      <c r="U194" s="200">
        <f t="shared" si="4"/>
        <v>2.47682</v>
      </c>
      <c r="V194" s="200">
        <f t="shared" si="4"/>
        <v>2.49353</v>
      </c>
      <c r="W194" s="200">
        <f t="shared" si="4"/>
        <v>2.50995</v>
      </c>
      <c r="X194" s="200">
        <f t="shared" si="4"/>
        <v>2.52596</v>
      </c>
      <c r="Y194" s="200">
        <f t="shared" si="4"/>
        <v>2.54157</v>
      </c>
      <c r="Z194" s="200">
        <f t="shared" si="4"/>
        <v>2.55684</v>
      </c>
      <c r="AA194" s="200">
        <f t="shared" si="4"/>
        <v>2.57158</v>
      </c>
      <c r="AB194" s="200">
        <f t="shared" si="4"/>
        <v>2.58585</v>
      </c>
      <c r="AC194" s="200">
        <f t="shared" si="4"/>
        <v>2.59974</v>
      </c>
      <c r="AD194" s="200">
        <f t="shared" si="4"/>
        <v>2.61301</v>
      </c>
      <c r="AE194" s="200">
        <f t="shared" si="4"/>
        <v>2.62594</v>
      </c>
      <c r="AF194" s="200">
        <f t="shared" si="4"/>
        <v>2.63834</v>
      </c>
      <c r="AG194" s="200">
        <f t="shared" si="4"/>
        <v>2.65032</v>
      </c>
      <c r="AH194" s="200">
        <f t="shared" si="4"/>
        <v>2.6618</v>
      </c>
      <c r="AI194" s="200">
        <f aca="true" t="shared" si="5" ref="AI194:BF194">SUM(AI$103:AI$193)/1000000</f>
        <v>2.67294</v>
      </c>
      <c r="AJ194" s="200">
        <f t="shared" si="5"/>
        <v>2.68359</v>
      </c>
      <c r="AK194" s="200">
        <f t="shared" si="5"/>
        <v>2.69379</v>
      </c>
      <c r="AL194" s="200">
        <f t="shared" si="5"/>
        <v>2.70357</v>
      </c>
      <c r="AM194" s="200">
        <f t="shared" si="5"/>
        <v>2.71293</v>
      </c>
      <c r="AN194" s="200">
        <f t="shared" si="5"/>
        <v>2.7218</v>
      </c>
      <c r="AO194" s="200">
        <f t="shared" si="5"/>
        <v>2.73029</v>
      </c>
      <c r="AP194" s="200">
        <f t="shared" si="5"/>
        <v>2.73823</v>
      </c>
      <c r="AQ194" s="200">
        <f t="shared" si="5"/>
        <v>2.74569</v>
      </c>
      <c r="AR194" s="200">
        <f t="shared" si="5"/>
        <v>2.75268</v>
      </c>
      <c r="AS194" s="200">
        <f t="shared" si="5"/>
        <v>2.75907</v>
      </c>
      <c r="AT194" s="200">
        <f t="shared" si="5"/>
        <v>2.76509</v>
      </c>
      <c r="AU194" s="200">
        <f t="shared" si="5"/>
        <v>2.77061</v>
      </c>
      <c r="AV194" s="200">
        <f t="shared" si="5"/>
        <v>2.77575</v>
      </c>
      <c r="AW194" s="200">
        <f t="shared" si="5"/>
        <v>2.78046</v>
      </c>
      <c r="AX194" s="200">
        <f t="shared" si="5"/>
        <v>2.78483</v>
      </c>
      <c r="AY194" s="200">
        <f t="shared" si="5"/>
        <v>2.78885</v>
      </c>
      <c r="AZ194" s="200">
        <f t="shared" si="5"/>
        <v>2.79249</v>
      </c>
      <c r="BA194" s="200">
        <f t="shared" si="5"/>
        <v>2.79588</v>
      </c>
      <c r="BB194" s="200">
        <f t="shared" si="5"/>
        <v>2.79895</v>
      </c>
      <c r="BC194" s="200">
        <f t="shared" si="5"/>
        <v>2.80185</v>
      </c>
      <c r="BD194" s="200">
        <f t="shared" si="5"/>
        <v>2.80457</v>
      </c>
      <c r="BE194" s="200">
        <f t="shared" si="5"/>
        <v>2.807</v>
      </c>
      <c r="BF194" s="200">
        <f t="shared" si="5"/>
        <v>2.80937</v>
      </c>
    </row>
    <row r="195" spans="3:9" ht="12.75">
      <c r="C195" s="434"/>
      <c r="D195" s="434"/>
      <c r="E195" s="434"/>
      <c r="F195" s="434"/>
      <c r="G195" s="434"/>
      <c r="H195" s="434"/>
      <c r="I195" s="434"/>
    </row>
    <row r="196" spans="1:9" ht="18.75">
      <c r="A196" s="1" t="s">
        <v>13</v>
      </c>
      <c r="H196" s="433"/>
      <c r="I196" s="433"/>
    </row>
    <row r="197" spans="1:58" ht="12.75">
      <c r="A197" s="435" t="s">
        <v>638</v>
      </c>
      <c r="B197" s="436"/>
      <c r="C197" s="437"/>
      <c r="D197" s="438">
        <f aca="true" t="shared" si="6" ref="D197:AI197">SUM(D$9:D$99,D$103:D$193)/SUM(C$9:C$99,C$103:C$193)-1</f>
        <v>0.010342610935733854</v>
      </c>
      <c r="E197" s="438">
        <f t="shared" si="6"/>
        <v>0.00955554872265485</v>
      </c>
      <c r="F197" s="438">
        <f t="shared" si="6"/>
        <v>0.009788417429849261</v>
      </c>
      <c r="G197" s="438">
        <f t="shared" si="6"/>
        <v>0.009726015002006871</v>
      </c>
      <c r="H197" s="438">
        <f t="shared" si="6"/>
        <v>0.009482974533606248</v>
      </c>
      <c r="I197" s="438">
        <f t="shared" si="6"/>
        <v>0.009170824532012567</v>
      </c>
      <c r="J197" s="438">
        <f t="shared" si="6"/>
        <v>0.008938620569879374</v>
      </c>
      <c r="K197" s="438">
        <f t="shared" si="6"/>
        <v>0.008729768398461957</v>
      </c>
      <c r="L197" s="438">
        <f t="shared" si="6"/>
        <v>0.008530112471605067</v>
      </c>
      <c r="M197" s="438">
        <f t="shared" si="6"/>
        <v>0.008337105613592577</v>
      </c>
      <c r="N197" s="438">
        <f t="shared" si="6"/>
        <v>0.008157029908383295</v>
      </c>
      <c r="O197" s="438">
        <f t="shared" si="6"/>
        <v>0.007985110600482903</v>
      </c>
      <c r="P197" s="438">
        <f t="shared" si="6"/>
        <v>0.007788893535346952</v>
      </c>
      <c r="Q197" s="438">
        <f t="shared" si="6"/>
        <v>0.007652089535405748</v>
      </c>
      <c r="R197" s="438">
        <f t="shared" si="6"/>
        <v>0.007492614031123557</v>
      </c>
      <c r="S197" s="438">
        <f t="shared" si="6"/>
        <v>0.007319511781018306</v>
      </c>
      <c r="T197" s="438">
        <f t="shared" si="6"/>
        <v>0.007147717412339105</v>
      </c>
      <c r="U197" s="438">
        <f t="shared" si="6"/>
        <v>0.006954430505280884</v>
      </c>
      <c r="V197" s="438">
        <f t="shared" si="6"/>
        <v>0.0068058616175668</v>
      </c>
      <c r="W197" s="438">
        <f t="shared" si="6"/>
        <v>0.006613123126366638</v>
      </c>
      <c r="X197" s="438">
        <f t="shared" si="6"/>
        <v>0.006438081046937327</v>
      </c>
      <c r="Y197" s="438">
        <f t="shared" si="6"/>
        <v>0.006215853040336672</v>
      </c>
      <c r="Z197" s="438">
        <f t="shared" si="6"/>
        <v>0.006023518310456</v>
      </c>
      <c r="AA197" s="438">
        <f t="shared" si="6"/>
        <v>0.005800655380659325</v>
      </c>
      <c r="AB197" s="438">
        <f t="shared" si="6"/>
        <v>0.005577530238788597</v>
      </c>
      <c r="AC197" s="438">
        <f t="shared" si="6"/>
        <v>0.005395305337737133</v>
      </c>
      <c r="AD197" s="438">
        <f t="shared" si="6"/>
        <v>0.005145522730781504</v>
      </c>
      <c r="AE197" s="438">
        <f t="shared" si="6"/>
        <v>0.004981140879573909</v>
      </c>
      <c r="AF197" s="438">
        <f t="shared" si="6"/>
        <v>0.0047804032485847525</v>
      </c>
      <c r="AG197" s="438">
        <f t="shared" si="6"/>
        <v>0.004582448452268517</v>
      </c>
      <c r="AH197" s="438">
        <f t="shared" si="6"/>
        <v>0.004419715842553851</v>
      </c>
      <c r="AI197" s="438">
        <f t="shared" si="6"/>
        <v>0.004264786980092028</v>
      </c>
      <c r="AJ197" s="438">
        <f aca="true" t="shared" si="7" ref="AJ197:BF197">SUM(AJ$9:AJ$99,AJ$103:AJ$193)/SUM(AI$9:AI$99,AI$103:AI$193)-1</f>
        <v>0.004081368968675392</v>
      </c>
      <c r="AK197" s="438">
        <f t="shared" si="7"/>
        <v>0.003936098947471933</v>
      </c>
      <c r="AL197" s="438">
        <f t="shared" si="7"/>
        <v>0.003764217129544001</v>
      </c>
      <c r="AM197" s="438">
        <f t="shared" si="7"/>
        <v>0.003614894492027565</v>
      </c>
      <c r="AN197" s="438">
        <f t="shared" si="7"/>
        <v>0.003450314719596337</v>
      </c>
      <c r="AO197" s="438">
        <f t="shared" si="7"/>
        <v>0.0033209767885911123</v>
      </c>
      <c r="AP197" s="438">
        <f t="shared" si="7"/>
        <v>0.003109266655391796</v>
      </c>
      <c r="AQ197" s="438">
        <f t="shared" si="7"/>
        <v>0.0029588210663613612</v>
      </c>
      <c r="AR197" s="438">
        <f t="shared" si="7"/>
        <v>0.0027930742104300688</v>
      </c>
      <c r="AS197" s="438">
        <f t="shared" si="7"/>
        <v>0.0026231875781752567</v>
      </c>
      <c r="AT197" s="438">
        <f t="shared" si="7"/>
        <v>0.002456478802076223</v>
      </c>
      <c r="AU197" s="438">
        <f t="shared" si="7"/>
        <v>0.0023294942193352597</v>
      </c>
      <c r="AV197" s="438">
        <f t="shared" si="7"/>
        <v>0.0021960821601696434</v>
      </c>
      <c r="AW197" s="438">
        <f t="shared" si="7"/>
        <v>0.0020580786886681413</v>
      </c>
      <c r="AX197" s="438">
        <f t="shared" si="7"/>
        <v>0.001937321107331913</v>
      </c>
      <c r="AY197" s="438">
        <f t="shared" si="7"/>
        <v>0.0018427116574228908</v>
      </c>
      <c r="AZ197" s="438">
        <f t="shared" si="7"/>
        <v>0.001723230967367373</v>
      </c>
      <c r="BA197" s="438">
        <f t="shared" si="7"/>
        <v>0.0016424018542662289</v>
      </c>
      <c r="BB197" s="438">
        <f t="shared" si="7"/>
        <v>0.0015438933954265988</v>
      </c>
      <c r="BC197" s="438">
        <f t="shared" si="7"/>
        <v>0.0014945821397434056</v>
      </c>
      <c r="BD197" s="438">
        <f t="shared" si="7"/>
        <v>0.0014346762696253457</v>
      </c>
      <c r="BE197" s="438">
        <f t="shared" si="7"/>
        <v>0.0013426321709786304</v>
      </c>
      <c r="BF197" s="438">
        <f t="shared" si="7"/>
        <v>0.0013066820520839517</v>
      </c>
    </row>
    <row r="198" spans="1:58" ht="12.75">
      <c r="A198" s="435" t="s">
        <v>696</v>
      </c>
      <c r="B198" s="436"/>
      <c r="C198" s="437"/>
      <c r="D198" s="438">
        <f aca="true" t="shared" si="8" ref="D198:AI198">SUM(D$10:D$13,D$104:D$107)/SUM(C$10:C$13,C$104:C$107)-1</f>
        <v>0.017229223583326014</v>
      </c>
      <c r="E198" s="438">
        <f t="shared" si="8"/>
        <v>0.025427766948234787</v>
      </c>
      <c r="F198" s="438">
        <f t="shared" si="8"/>
        <v>0.01884082460290637</v>
      </c>
      <c r="G198" s="438">
        <f t="shared" si="8"/>
        <v>0.01807778422754791</v>
      </c>
      <c r="H198" s="438">
        <f t="shared" si="8"/>
        <v>0.008063859249002103</v>
      </c>
      <c r="I198" s="438">
        <f t="shared" si="8"/>
        <v>-0.004565287653522931</v>
      </c>
      <c r="J198" s="438">
        <f t="shared" si="8"/>
        <v>-0.007264905231543439</v>
      </c>
      <c r="K198" s="438">
        <f t="shared" si="8"/>
        <v>-0.007481602616516758</v>
      </c>
      <c r="L198" s="438">
        <f t="shared" si="8"/>
        <v>-0.006178687646743786</v>
      </c>
      <c r="M198" s="438">
        <f t="shared" si="8"/>
        <v>-0.00493223359721473</v>
      </c>
      <c r="N198" s="438">
        <f t="shared" si="8"/>
        <v>-0.003707097634121914</v>
      </c>
      <c r="O198" s="438">
        <f t="shared" si="8"/>
        <v>-0.0027593126802959445</v>
      </c>
      <c r="P198" s="438">
        <f t="shared" si="8"/>
        <v>-0.001760784806942528</v>
      </c>
      <c r="Q198" s="438">
        <f t="shared" si="8"/>
        <v>-0.0011339296963588374</v>
      </c>
      <c r="R198" s="438">
        <f t="shared" si="8"/>
        <v>-0.0006306760847628601</v>
      </c>
      <c r="S198" s="438">
        <f t="shared" si="8"/>
        <v>-0.0002945012411124104</v>
      </c>
      <c r="T198" s="438">
        <f t="shared" si="8"/>
        <v>-0.00016833599865329063</v>
      </c>
      <c r="U198" s="438">
        <f t="shared" si="8"/>
        <v>4.209108510822013E-05</v>
      </c>
      <c r="V198" s="438">
        <f t="shared" si="8"/>
        <v>0.00021044656761648461</v>
      </c>
      <c r="W198" s="438">
        <f t="shared" si="8"/>
        <v>0.00016832183134152245</v>
      </c>
      <c r="X198" s="438">
        <f t="shared" si="8"/>
        <v>0.00025244025580617446</v>
      </c>
      <c r="Y198" s="438">
        <f t="shared" si="8"/>
        <v>0.00021031378817193414</v>
      </c>
      <c r="Z198" s="438">
        <f t="shared" si="8"/>
        <v>-8.410782623324842E-05</v>
      </c>
      <c r="AA198" s="438">
        <f t="shared" si="8"/>
        <v>-0.0005046894057282314</v>
      </c>
      <c r="AB198" s="438">
        <f t="shared" si="8"/>
        <v>-0.001009888491479094</v>
      </c>
      <c r="AC198" s="438">
        <f t="shared" si="8"/>
        <v>-0.0012636367465566067</v>
      </c>
      <c r="AD198" s="438">
        <f t="shared" si="8"/>
        <v>-0.0014339336173083694</v>
      </c>
      <c r="AE198" s="438">
        <f t="shared" si="8"/>
        <v>-0.0011825822528191976</v>
      </c>
      <c r="AF198" s="438">
        <f t="shared" si="8"/>
        <v>-0.000845701721002956</v>
      </c>
      <c r="AG198" s="438">
        <f t="shared" si="8"/>
        <v>-0.0002116043844428983</v>
      </c>
      <c r="AH198" s="438">
        <f t="shared" si="8"/>
        <v>0.00046562817473749796</v>
      </c>
      <c r="AI198" s="438">
        <f t="shared" si="8"/>
        <v>0.0011846837317537329</v>
      </c>
      <c r="AJ198" s="438">
        <f aca="true" t="shared" si="9" ref="AJ198:BF198">SUM(AJ$10:AJ$13,AJ$104:AJ$107)/SUM(AI$10:AI$13,AI$104:AI$107)-1</f>
        <v>0.001732662806913643</v>
      </c>
      <c r="AK198" s="438">
        <f t="shared" si="9"/>
        <v>0.0021937225784678382</v>
      </c>
      <c r="AL198" s="438">
        <f t="shared" si="9"/>
        <v>0.002483583094797126</v>
      </c>
      <c r="AM198" s="438">
        <f t="shared" si="9"/>
        <v>0.0025614108754985487</v>
      </c>
      <c r="AN198" s="438">
        <f t="shared" si="9"/>
        <v>0.0023035684369241416</v>
      </c>
      <c r="AO198" s="438">
        <f t="shared" si="9"/>
        <v>0.002005766578914381</v>
      </c>
      <c r="AP198" s="438">
        <f t="shared" si="9"/>
        <v>0.0014179073355853333</v>
      </c>
      <c r="AQ198" s="438">
        <f t="shared" si="9"/>
        <v>0.000707949860492274</v>
      </c>
      <c r="AR198" s="438">
        <f t="shared" si="9"/>
        <v>0.0001248439450687311</v>
      </c>
      <c r="AS198" s="438">
        <f t="shared" si="9"/>
        <v>-0.0005409228976823721</v>
      </c>
      <c r="AT198" s="438">
        <f t="shared" si="9"/>
        <v>-0.0007910074937551581</v>
      </c>
      <c r="AU198" s="438">
        <f t="shared" si="9"/>
        <v>-0.0011249531269530433</v>
      </c>
      <c r="AV198" s="438">
        <f t="shared" si="9"/>
        <v>-0.0012096437807624927</v>
      </c>
      <c r="AW198" s="438">
        <f t="shared" si="9"/>
        <v>-0.0012528711630820366</v>
      </c>
      <c r="AX198" s="438">
        <f t="shared" si="9"/>
        <v>-0.0012126280577043902</v>
      </c>
      <c r="AY198" s="438">
        <f t="shared" si="9"/>
        <v>-0.0009629071422591062</v>
      </c>
      <c r="AZ198" s="438">
        <f t="shared" si="9"/>
        <v>-0.0009638352260822325</v>
      </c>
      <c r="BA198" s="438">
        <f t="shared" si="9"/>
        <v>-0.0005453020134228437</v>
      </c>
      <c r="BB198" s="438">
        <f t="shared" si="9"/>
        <v>-0.0006295379191673112</v>
      </c>
      <c r="BC198" s="438">
        <f t="shared" si="9"/>
        <v>-0.000209978162271085</v>
      </c>
      <c r="BD198" s="438">
        <f t="shared" si="9"/>
        <v>-0.00025202671483182115</v>
      </c>
      <c r="BE198" s="438">
        <f t="shared" si="9"/>
        <v>-0.00012604512415448355</v>
      </c>
      <c r="BF198" s="438">
        <f t="shared" si="9"/>
        <v>4.2020337843506894E-05</v>
      </c>
    </row>
    <row r="199" spans="1:58" ht="12.75">
      <c r="A199" s="435" t="s">
        <v>698</v>
      </c>
      <c r="B199" s="436"/>
      <c r="C199" s="437"/>
      <c r="D199" s="438">
        <f aca="true" t="shared" si="10" ref="D199:AI199">SUM(D$14:D$26,D$108:D$120)/SUM(C$14:C$26,C$108:C$120)-1</f>
        <v>-0.004853941626950742</v>
      </c>
      <c r="E199" s="438">
        <f t="shared" si="10"/>
        <v>-0.0077081516863161115</v>
      </c>
      <c r="F199" s="438">
        <f t="shared" si="10"/>
        <v>-0.006953022527283581</v>
      </c>
      <c r="G199" s="438">
        <f t="shared" si="10"/>
        <v>-0.00506533642810425</v>
      </c>
      <c r="H199" s="438">
        <f t="shared" si="10"/>
        <v>-0.0022297837238677287</v>
      </c>
      <c r="I199" s="438">
        <f t="shared" si="10"/>
        <v>0.002712722669319101</v>
      </c>
      <c r="J199" s="438">
        <f t="shared" si="10"/>
        <v>0.0029372737461834664</v>
      </c>
      <c r="K199" s="438">
        <f t="shared" si="10"/>
        <v>0.0038663600981361235</v>
      </c>
      <c r="L199" s="438">
        <f t="shared" si="10"/>
        <v>0.005131026717166476</v>
      </c>
      <c r="M199" s="438">
        <f t="shared" si="10"/>
        <v>0.004239176097666553</v>
      </c>
      <c r="N199" s="438">
        <f t="shared" si="10"/>
        <v>0.004880460411226251</v>
      </c>
      <c r="O199" s="438">
        <f t="shared" si="10"/>
        <v>0.00199316269505867</v>
      </c>
      <c r="P199" s="438">
        <f t="shared" si="10"/>
        <v>0.0028956678291303106</v>
      </c>
      <c r="Q199" s="438">
        <f t="shared" si="10"/>
        <v>0.005322687957418415</v>
      </c>
      <c r="R199" s="438">
        <f t="shared" si="10"/>
        <v>0.00444538791004323</v>
      </c>
      <c r="S199" s="438">
        <f t="shared" si="10"/>
        <v>0.0021879933862927192</v>
      </c>
      <c r="T199" s="438">
        <f t="shared" si="10"/>
        <v>0.002282453637660442</v>
      </c>
      <c r="U199" s="438">
        <f t="shared" si="10"/>
        <v>4.950556318772392E-05</v>
      </c>
      <c r="V199" s="438">
        <f t="shared" si="10"/>
        <v>-0.0031434476442706583</v>
      </c>
      <c r="W199" s="438">
        <f t="shared" si="10"/>
        <v>-0.0035258041688910335</v>
      </c>
      <c r="X199" s="438">
        <f t="shared" si="10"/>
        <v>-0.0031271413442970353</v>
      </c>
      <c r="Y199" s="438">
        <f t="shared" si="10"/>
        <v>-0.0024245756992525846</v>
      </c>
      <c r="Z199" s="438">
        <f t="shared" si="10"/>
        <v>-0.0017790027562014643</v>
      </c>
      <c r="AA199" s="438">
        <f t="shared" si="10"/>
        <v>-0.00122995055096764</v>
      </c>
      <c r="AB199" s="438">
        <f t="shared" si="10"/>
        <v>-0.0008293541090725887</v>
      </c>
      <c r="AC199" s="438">
        <f t="shared" si="10"/>
        <v>-0.0004653268606785721</v>
      </c>
      <c r="AD199" s="438">
        <f t="shared" si="10"/>
        <v>-0.0003019741560451594</v>
      </c>
      <c r="AE199" s="438">
        <f t="shared" si="10"/>
        <v>-0.0002894793148150443</v>
      </c>
      <c r="AF199" s="438">
        <f t="shared" si="10"/>
        <v>-0.0002643837341055333</v>
      </c>
      <c r="AG199" s="438">
        <f t="shared" si="10"/>
        <v>-0.00036519789948241677</v>
      </c>
      <c r="AH199" s="438">
        <f t="shared" si="10"/>
        <v>-0.00042831947593857667</v>
      </c>
      <c r="AI199" s="438">
        <f t="shared" si="10"/>
        <v>-0.00042850301212415953</v>
      </c>
      <c r="AJ199" s="438">
        <f aca="true" t="shared" si="11" ref="AJ199:BF199">SUM(AJ$14:AJ$26,AJ$108:AJ$120)/SUM(AI$14:AI$26,AI$108:AI$120)-1</f>
        <v>-0.0004665120032277814</v>
      </c>
      <c r="AK199" s="438">
        <f t="shared" si="11"/>
        <v>-0.0003405865657520879</v>
      </c>
      <c r="AL199" s="438">
        <f t="shared" si="11"/>
        <v>-0.00030284675953962115</v>
      </c>
      <c r="AM199" s="438">
        <f t="shared" si="11"/>
        <v>-0.00013884681409670474</v>
      </c>
      <c r="AN199" s="438">
        <f t="shared" si="11"/>
        <v>1.262419047387553E-05</v>
      </c>
      <c r="AO199" s="438">
        <f t="shared" si="11"/>
        <v>0.00023985659100667078</v>
      </c>
      <c r="AP199" s="438">
        <f t="shared" si="11"/>
        <v>0.0003660091123647291</v>
      </c>
      <c r="AQ199" s="438">
        <f t="shared" si="11"/>
        <v>0.0006434356942797148</v>
      </c>
      <c r="AR199" s="438">
        <f t="shared" si="11"/>
        <v>0.0009204039690844379</v>
      </c>
      <c r="AS199" s="438">
        <f t="shared" si="11"/>
        <v>0.0010707177587987449</v>
      </c>
      <c r="AT199" s="438">
        <f t="shared" si="11"/>
        <v>0.0011954046130033813</v>
      </c>
      <c r="AU199" s="438">
        <f t="shared" si="11"/>
        <v>0.001294522786114749</v>
      </c>
      <c r="AV199" s="438">
        <f t="shared" si="11"/>
        <v>0.0012802972297882853</v>
      </c>
      <c r="AW199" s="438">
        <f t="shared" si="11"/>
        <v>0.001140765441075109</v>
      </c>
      <c r="AX199" s="438">
        <f t="shared" si="11"/>
        <v>0.0010142495805263163</v>
      </c>
      <c r="AY199" s="438">
        <f t="shared" si="11"/>
        <v>0.0008005704064146801</v>
      </c>
      <c r="AZ199" s="438">
        <f t="shared" si="11"/>
        <v>0.0005624507855561678</v>
      </c>
      <c r="BA199" s="438">
        <f t="shared" si="11"/>
        <v>0.00031229700694557216</v>
      </c>
      <c r="BB199" s="438">
        <f t="shared" si="11"/>
        <v>-2.497596063788521E-05</v>
      </c>
      <c r="BC199" s="438">
        <f t="shared" si="11"/>
        <v>-0.00021230096784263797</v>
      </c>
      <c r="BD199" s="438">
        <f t="shared" si="11"/>
        <v>-0.00047465587449102564</v>
      </c>
      <c r="BE199" s="438">
        <f t="shared" si="11"/>
        <v>-0.0005998500374906346</v>
      </c>
      <c r="BF199" s="438">
        <f t="shared" si="11"/>
        <v>-0.0007627669684389105</v>
      </c>
    </row>
    <row r="200" spans="1:58" ht="12.75">
      <c r="A200" s="435" t="s">
        <v>697</v>
      </c>
      <c r="B200" s="436"/>
      <c r="C200" s="437"/>
      <c r="D200" s="438">
        <f aca="true" t="shared" si="12" ref="D200:AI200">SUM(D$27:D$33,D$121:D$127)/SUM(C$27:C$33,C$121:C$127)-1</f>
        <v>0.012116355866355955</v>
      </c>
      <c r="E200" s="438">
        <f t="shared" si="12"/>
        <v>0.012547081544034722</v>
      </c>
      <c r="F200" s="438">
        <f t="shared" si="12"/>
        <v>0.017509358858929902</v>
      </c>
      <c r="G200" s="438">
        <f t="shared" si="12"/>
        <v>0.014576784258935938</v>
      </c>
      <c r="H200" s="438">
        <f t="shared" si="12"/>
        <v>0.01360996993413055</v>
      </c>
      <c r="I200" s="438">
        <f t="shared" si="12"/>
        <v>0.010755366361742569</v>
      </c>
      <c r="J200" s="438">
        <f t="shared" si="12"/>
        <v>0.005645287752861883</v>
      </c>
      <c r="K200" s="438">
        <f t="shared" si="12"/>
        <v>-0.0006237330422579346</v>
      </c>
      <c r="L200" s="438">
        <f t="shared" si="12"/>
        <v>-0.009361834919644263</v>
      </c>
      <c r="M200" s="438">
        <f t="shared" si="12"/>
        <v>-0.012307900006750194</v>
      </c>
      <c r="N200" s="438">
        <f t="shared" si="12"/>
        <v>-0.011071623838162958</v>
      </c>
      <c r="O200" s="438">
        <f t="shared" si="12"/>
        <v>-0.0059894033632803545</v>
      </c>
      <c r="P200" s="438">
        <f t="shared" si="12"/>
        <v>-0.005260718424101918</v>
      </c>
      <c r="Q200" s="438">
        <f t="shared" si="12"/>
        <v>-0.010320807026535928</v>
      </c>
      <c r="R200" s="438">
        <f t="shared" si="12"/>
        <v>-0.006873822975517863</v>
      </c>
      <c r="S200" s="438">
        <f t="shared" si="12"/>
        <v>0.0009481369109698434</v>
      </c>
      <c r="T200" s="438">
        <f t="shared" si="12"/>
        <v>0.0002131287297528761</v>
      </c>
      <c r="U200" s="438">
        <f t="shared" si="12"/>
        <v>0.006558230934962328</v>
      </c>
      <c r="V200" s="438">
        <f t="shared" si="12"/>
        <v>0.008185538881309684</v>
      </c>
      <c r="W200" s="438">
        <f t="shared" si="12"/>
        <v>0.010942093229433958</v>
      </c>
      <c r="X200" s="438">
        <f t="shared" si="12"/>
        <v>0.014977729570053722</v>
      </c>
      <c r="Y200" s="438">
        <f t="shared" si="12"/>
        <v>0.0122100954979536</v>
      </c>
      <c r="Z200" s="438">
        <f t="shared" si="12"/>
        <v>0.007008558528202702</v>
      </c>
      <c r="AA200" s="438">
        <f t="shared" si="12"/>
        <v>0.006402105779740763</v>
      </c>
      <c r="AB200" s="438">
        <f t="shared" si="12"/>
        <v>0.0016402163312350115</v>
      </c>
      <c r="AC200" s="438">
        <f t="shared" si="12"/>
        <v>-0.004580659437928736</v>
      </c>
      <c r="AD200" s="438">
        <f t="shared" si="12"/>
        <v>-0.005646577595980751</v>
      </c>
      <c r="AE200" s="438">
        <f t="shared" si="12"/>
        <v>-0.005276219007802507</v>
      </c>
      <c r="AF200" s="438">
        <f t="shared" si="12"/>
        <v>-0.0042029083226574615</v>
      </c>
      <c r="AG200" s="438">
        <f t="shared" si="12"/>
        <v>-0.003137272604161967</v>
      </c>
      <c r="AH200" s="438">
        <f t="shared" si="12"/>
        <v>-0.002264133855593542</v>
      </c>
      <c r="AI200" s="438">
        <f t="shared" si="12"/>
        <v>-0.0015204120997571735</v>
      </c>
      <c r="AJ200" s="438">
        <f aca="true" t="shared" si="13" ref="AJ200:BF200">SUM(AJ$27:AJ$33,AJ$121:AJ$127)/SUM(AI$27:AI$33,AI$121:AI$127)-1</f>
        <v>-0.0010454545454545716</v>
      </c>
      <c r="AK200" s="438">
        <f t="shared" si="13"/>
        <v>-0.0005687764481048241</v>
      </c>
      <c r="AL200" s="438">
        <f t="shared" si="13"/>
        <v>-0.00027316806665300675</v>
      </c>
      <c r="AM200" s="438">
        <f t="shared" si="13"/>
        <v>-6.831067695878268E-05</v>
      </c>
      <c r="AN200" s="438">
        <f t="shared" si="13"/>
        <v>6.831534362627956E-05</v>
      </c>
      <c r="AO200" s="438">
        <f t="shared" si="13"/>
        <v>0.00013662135391756536</v>
      </c>
      <c r="AP200" s="438">
        <f t="shared" si="13"/>
        <v>0.00018213692143076443</v>
      </c>
      <c r="AQ200" s="438">
        <f t="shared" si="13"/>
        <v>6.828890760512962E-05</v>
      </c>
      <c r="AR200" s="438">
        <f t="shared" si="13"/>
        <v>-0.00013656848909726627</v>
      </c>
      <c r="AS200" s="438">
        <f t="shared" si="13"/>
        <v>-0.00038699690402477227</v>
      </c>
      <c r="AT200" s="438">
        <f t="shared" si="13"/>
        <v>-0.0006148800983808433</v>
      </c>
      <c r="AU200" s="438">
        <f t="shared" si="13"/>
        <v>-0.0008659192416370365</v>
      </c>
      <c r="AV200" s="438">
        <f t="shared" si="13"/>
        <v>-0.0009122839027505547</v>
      </c>
      <c r="AW200" s="438">
        <f t="shared" si="13"/>
        <v>-0.0008902890015066722</v>
      </c>
      <c r="AX200" s="438">
        <f t="shared" si="13"/>
        <v>-0.0007311444695775604</v>
      </c>
      <c r="AY200" s="438">
        <f t="shared" si="13"/>
        <v>-0.00029724476963532975</v>
      </c>
      <c r="AZ200" s="438">
        <f t="shared" si="13"/>
        <v>0.00018297424637481186</v>
      </c>
      <c r="BA200" s="438">
        <f t="shared" si="13"/>
        <v>0.0007088954950835724</v>
      </c>
      <c r="BB200" s="438">
        <f t="shared" si="13"/>
        <v>0.0012796782523252226</v>
      </c>
      <c r="BC200" s="438">
        <f t="shared" si="13"/>
        <v>0.0016888422301846173</v>
      </c>
      <c r="BD200" s="438">
        <f t="shared" si="13"/>
        <v>0.0019821831354946973</v>
      </c>
      <c r="BE200" s="438">
        <f t="shared" si="13"/>
        <v>0.0020692164263951263</v>
      </c>
      <c r="BF200" s="438">
        <f t="shared" si="13"/>
        <v>0.002064943611155279</v>
      </c>
    </row>
    <row r="201" spans="1:58" ht="12.75">
      <c r="A201" s="435" t="s">
        <v>699</v>
      </c>
      <c r="B201" s="436"/>
      <c r="C201" s="437"/>
      <c r="D201" s="438">
        <f aca="true" t="shared" si="14" ref="D201:AI201">SUM(D$74:D$99,D$168:D$193)/SUM(C$74:C$99,C$168:C$193)-1</f>
        <v>0.02943533412817856</v>
      </c>
      <c r="E201" s="438">
        <f t="shared" si="14"/>
        <v>0.021150961666255297</v>
      </c>
      <c r="F201" s="438">
        <f t="shared" si="14"/>
        <v>0.02696019188219334</v>
      </c>
      <c r="G201" s="438">
        <f t="shared" si="14"/>
        <v>0.028497456230876406</v>
      </c>
      <c r="H201" s="438">
        <f t="shared" si="14"/>
        <v>0.030647631453870172</v>
      </c>
      <c r="I201" s="438">
        <f t="shared" si="14"/>
        <v>0.0412823666051787</v>
      </c>
      <c r="J201" s="438">
        <f t="shared" si="14"/>
        <v>0.03807102435823828</v>
      </c>
      <c r="K201" s="438">
        <f t="shared" si="14"/>
        <v>0.035063047119426205</v>
      </c>
      <c r="L201" s="438">
        <f t="shared" si="14"/>
        <v>0.03462331119761841</v>
      </c>
      <c r="M201" s="438">
        <f t="shared" si="14"/>
        <v>0.03231375326457431</v>
      </c>
      <c r="N201" s="438">
        <f t="shared" si="14"/>
        <v>0.031802524191358206</v>
      </c>
      <c r="O201" s="438">
        <f t="shared" si="14"/>
        <v>0.0308361500526404</v>
      </c>
      <c r="P201" s="438">
        <f t="shared" si="14"/>
        <v>0.0313516273819443</v>
      </c>
      <c r="Q201" s="438">
        <f t="shared" si="14"/>
        <v>0.031336729774453786</v>
      </c>
      <c r="R201" s="438">
        <f t="shared" si="14"/>
        <v>0.03221649484536093</v>
      </c>
      <c r="S201" s="438">
        <f t="shared" si="14"/>
        <v>0.031798487185136226</v>
      </c>
      <c r="T201" s="438">
        <f t="shared" si="14"/>
        <v>0.031008303677342752</v>
      </c>
      <c r="U201" s="438">
        <f t="shared" si="14"/>
        <v>0.03220424787721199</v>
      </c>
      <c r="V201" s="438">
        <f t="shared" si="14"/>
        <v>0.03152274475271133</v>
      </c>
      <c r="W201" s="438">
        <f t="shared" si="14"/>
        <v>0.0322127489437114</v>
      </c>
      <c r="X201" s="438">
        <f t="shared" si="14"/>
        <v>0.03173091015682261</v>
      </c>
      <c r="Y201" s="438">
        <f t="shared" si="14"/>
        <v>0.030034600671719813</v>
      </c>
      <c r="Z201" s="438">
        <f t="shared" si="14"/>
        <v>0.02734625121905565</v>
      </c>
      <c r="AA201" s="438">
        <f t="shared" si="14"/>
        <v>0.02377048394365655</v>
      </c>
      <c r="AB201" s="438">
        <f t="shared" si="14"/>
        <v>0.021907313052599964</v>
      </c>
      <c r="AC201" s="438">
        <f t="shared" si="14"/>
        <v>0.020686115464635613</v>
      </c>
      <c r="AD201" s="438">
        <f t="shared" si="14"/>
        <v>0.019898710534822728</v>
      </c>
      <c r="AE201" s="438">
        <f t="shared" si="14"/>
        <v>0.019651347068145864</v>
      </c>
      <c r="AF201" s="438">
        <f t="shared" si="14"/>
        <v>0.018115566607950884</v>
      </c>
      <c r="AG201" s="438">
        <f t="shared" si="14"/>
        <v>0.018276651683487355</v>
      </c>
      <c r="AH201" s="438">
        <f t="shared" si="14"/>
        <v>0.016640986132511637</v>
      </c>
      <c r="AI201" s="438">
        <f t="shared" si="14"/>
        <v>0.013656882101865442</v>
      </c>
      <c r="AJ201" s="438">
        <f aca="true" t="shared" si="15" ref="AJ201:BF201">SUM(AJ$74:AJ$99,AJ$168:AJ$193)/SUM(AI$74:AI$99,AI$168:AI$193)-1</f>
        <v>0.01124222096500449</v>
      </c>
      <c r="AK201" s="438">
        <f t="shared" si="15"/>
        <v>0.009159133958328347</v>
      </c>
      <c r="AL201" s="438">
        <f t="shared" si="15"/>
        <v>0.006993117758400835</v>
      </c>
      <c r="AM201" s="438">
        <f t="shared" si="15"/>
        <v>0.006425481714510406</v>
      </c>
      <c r="AN201" s="438">
        <f t="shared" si="15"/>
        <v>0.005274797408706844</v>
      </c>
      <c r="AO201" s="438">
        <f t="shared" si="15"/>
        <v>0.0060477915455294795</v>
      </c>
      <c r="AP201" s="438">
        <f t="shared" si="15"/>
        <v>0.006127337351259365</v>
      </c>
      <c r="AQ201" s="438">
        <f t="shared" si="15"/>
        <v>0.006474007971554396</v>
      </c>
      <c r="AR201" s="438">
        <f t="shared" si="15"/>
        <v>0.006829141740935185</v>
      </c>
      <c r="AS201" s="438">
        <f t="shared" si="15"/>
        <v>0.007207220862289754</v>
      </c>
      <c r="AT201" s="438">
        <f t="shared" si="15"/>
        <v>0.006523603858482163</v>
      </c>
      <c r="AU201" s="438">
        <f t="shared" si="15"/>
        <v>0.00586084967369116</v>
      </c>
      <c r="AV201" s="438">
        <f t="shared" si="15"/>
        <v>0.00541793939934454</v>
      </c>
      <c r="AW201" s="438">
        <f t="shared" si="15"/>
        <v>0.004797386200677156</v>
      </c>
      <c r="AX201" s="438">
        <f t="shared" si="15"/>
        <v>0.006010402336479537</v>
      </c>
      <c r="AY201" s="438">
        <f t="shared" si="15"/>
        <v>0.006815456167549083</v>
      </c>
      <c r="AZ201" s="438">
        <f t="shared" si="15"/>
        <v>0.007996804183614259</v>
      </c>
      <c r="BA201" s="438">
        <f t="shared" si="15"/>
        <v>0.00856745519919877</v>
      </c>
      <c r="BB201" s="438">
        <f t="shared" si="15"/>
        <v>0.007180110023576436</v>
      </c>
      <c r="BC201" s="438">
        <f t="shared" si="15"/>
        <v>0.00661819471537517</v>
      </c>
      <c r="BD201" s="438">
        <f t="shared" si="15"/>
        <v>0.005517659328579061</v>
      </c>
      <c r="BE201" s="438">
        <f t="shared" si="15"/>
        <v>0.005284145461171397</v>
      </c>
      <c r="BF201" s="438">
        <f t="shared" si="15"/>
        <v>0.0044337550977726625</v>
      </c>
    </row>
    <row r="202" spans="1:58" ht="12.75">
      <c r="A202" s="435" t="s">
        <v>702</v>
      </c>
      <c r="B202" s="436"/>
      <c r="C202" s="437"/>
      <c r="D202" s="438">
        <f aca="true" t="shared" si="16" ref="D202:AI202">SUM(D$9:D$28,D$103:D$122)/SUM(C$9:C$28,C$103:C$122)-1</f>
        <v>0.005616248013512237</v>
      </c>
      <c r="E202" s="438">
        <f t="shared" si="16"/>
        <v>0.003301285763929185</v>
      </c>
      <c r="F202" s="438">
        <f t="shared" si="16"/>
        <v>0.002012188584953112</v>
      </c>
      <c r="G202" s="438">
        <f t="shared" si="16"/>
        <v>-0.0002304431916382299</v>
      </c>
      <c r="H202" s="438">
        <f t="shared" si="16"/>
        <v>-0.0017534183425669259</v>
      </c>
      <c r="I202" s="438">
        <f t="shared" si="16"/>
        <v>-0.0009236046971895506</v>
      </c>
      <c r="J202" s="438">
        <f t="shared" si="16"/>
        <v>-0.0008584257791864891</v>
      </c>
      <c r="K202" s="438">
        <f t="shared" si="16"/>
        <v>1.652237129068368E-05</v>
      </c>
      <c r="L202" s="438">
        <f t="shared" si="16"/>
        <v>-0.00019826517967780344</v>
      </c>
      <c r="M202" s="438">
        <f t="shared" si="16"/>
        <v>0.0005122866160989226</v>
      </c>
      <c r="N202" s="438">
        <f t="shared" si="16"/>
        <v>0.0017673097251584835</v>
      </c>
      <c r="O202" s="438">
        <f t="shared" si="16"/>
        <v>0.0015333630113270047</v>
      </c>
      <c r="P202" s="438">
        <f t="shared" si="16"/>
        <v>0.002296523113394011</v>
      </c>
      <c r="Q202" s="438">
        <f t="shared" si="16"/>
        <v>0.0007555413207189776</v>
      </c>
      <c r="R202" s="438">
        <f t="shared" si="16"/>
        <v>0.0015099418180026802</v>
      </c>
      <c r="S202" s="438">
        <f t="shared" si="16"/>
        <v>0.003252951828453865</v>
      </c>
      <c r="T202" s="438">
        <f t="shared" si="16"/>
        <v>0.0027932048350212124</v>
      </c>
      <c r="U202" s="438">
        <f t="shared" si="16"/>
        <v>0.0013927122868173658</v>
      </c>
      <c r="V202" s="438">
        <f t="shared" si="16"/>
        <v>0.0015453059299082028</v>
      </c>
      <c r="W202" s="438">
        <f t="shared" si="16"/>
        <v>4.872384138776553E-05</v>
      </c>
      <c r="X202" s="438">
        <f t="shared" si="16"/>
        <v>-0.0019975801671145987</v>
      </c>
      <c r="Y202" s="438">
        <f t="shared" si="16"/>
        <v>-0.0022944924045792403</v>
      </c>
      <c r="Z202" s="438">
        <f t="shared" si="16"/>
        <v>-0.0021203545885288833</v>
      </c>
      <c r="AA202" s="438">
        <f t="shared" si="16"/>
        <v>-0.001708060574856396</v>
      </c>
      <c r="AB202" s="438">
        <f t="shared" si="16"/>
        <v>-0.0014244547776540717</v>
      </c>
      <c r="AC202" s="438">
        <f t="shared" si="16"/>
        <v>-0.0010739641574710745</v>
      </c>
      <c r="AD202" s="438">
        <f t="shared" si="16"/>
        <v>-0.0008699434536755257</v>
      </c>
      <c r="AE202" s="438">
        <f t="shared" si="16"/>
        <v>-0.0006653469250293975</v>
      </c>
      <c r="AF202" s="438">
        <f t="shared" si="16"/>
        <v>-0.00045207956600357146</v>
      </c>
      <c r="AG202" s="438">
        <f t="shared" si="16"/>
        <v>-0.0003042638049421953</v>
      </c>
      <c r="AH202" s="438">
        <f t="shared" si="16"/>
        <v>-0.00013161358252167243</v>
      </c>
      <c r="AI202" s="438">
        <f t="shared" si="16"/>
        <v>4.936159010138219E-05</v>
      </c>
      <c r="AJ202" s="438">
        <f aca="true" t="shared" si="17" ref="AJ202:BF202">SUM(AJ$9:AJ$28,AJ$103:AJ$122)/SUM(AI$9:AI$28,AI$103:AI$122)-1</f>
        <v>0.00014807746096523466</v>
      </c>
      <c r="AK202" s="438">
        <f t="shared" si="17"/>
        <v>0.0003454629203132331</v>
      </c>
      <c r="AL202" s="438">
        <f t="shared" si="17"/>
        <v>0.00042756828758894194</v>
      </c>
      <c r="AM202" s="438">
        <f t="shared" si="17"/>
        <v>0.0005177940330400865</v>
      </c>
      <c r="AN202" s="438">
        <f t="shared" si="17"/>
        <v>0.0005421701592829287</v>
      </c>
      <c r="AO202" s="438">
        <f t="shared" si="17"/>
        <v>0.0005993481063062411</v>
      </c>
      <c r="AP202" s="438">
        <f t="shared" si="17"/>
        <v>0.0005087304713140561</v>
      </c>
      <c r="AQ202" s="438">
        <f t="shared" si="17"/>
        <v>0.00048386832220703724</v>
      </c>
      <c r="AR202" s="438">
        <f t="shared" si="17"/>
        <v>0.0004672399236020919</v>
      </c>
      <c r="AS202" s="438">
        <f t="shared" si="17"/>
        <v>0.0003768947152806845</v>
      </c>
      <c r="AT202" s="438">
        <f t="shared" si="17"/>
        <v>0.00041770410169039707</v>
      </c>
      <c r="AU202" s="438">
        <f t="shared" si="17"/>
        <v>0.00041752969782304916</v>
      </c>
      <c r="AV202" s="438">
        <f t="shared" si="17"/>
        <v>0.00046645607947759515</v>
      </c>
      <c r="AW202" s="438">
        <f t="shared" si="17"/>
        <v>0.00043352010142738706</v>
      </c>
      <c r="AX202" s="438">
        <f t="shared" si="17"/>
        <v>0.00042515616312921445</v>
      </c>
      <c r="AY202" s="438">
        <f t="shared" si="17"/>
        <v>0.000424975482183676</v>
      </c>
      <c r="AZ202" s="438">
        <f t="shared" si="17"/>
        <v>0.00033493448354726674</v>
      </c>
      <c r="BA202" s="438">
        <f t="shared" si="17"/>
        <v>0.0003103231443901677</v>
      </c>
      <c r="BB202" s="438">
        <f t="shared" si="17"/>
        <v>0.00010613024630390377</v>
      </c>
      <c r="BC202" s="438">
        <f t="shared" si="17"/>
        <v>9.795598511064263E-05</v>
      </c>
      <c r="BD202" s="438">
        <f t="shared" si="17"/>
        <v>-0.00013059518756730615</v>
      </c>
      <c r="BE202" s="438">
        <f t="shared" si="17"/>
        <v>-0.00022040816326529544</v>
      </c>
      <c r="BF202" s="438">
        <f t="shared" si="17"/>
        <v>-0.000351097792982924</v>
      </c>
    </row>
    <row r="203" spans="1:58" ht="12.75">
      <c r="A203" s="435" t="s">
        <v>703</v>
      </c>
      <c r="B203" s="436"/>
      <c r="C203" s="437"/>
      <c r="D203" s="438">
        <f aca="true" t="shared" si="18" ref="D203:AI203">SUM(D$24:D$99,D$118:D$193)/SUM(C$24:C$99,C$118:C$193)-1</f>
        <v>0.01300237840986318</v>
      </c>
      <c r="E203" s="438">
        <f t="shared" si="18"/>
        <v>0.011916099162069704</v>
      </c>
      <c r="F203" s="438">
        <f t="shared" si="18"/>
        <v>0.011787615752729463</v>
      </c>
      <c r="G203" s="438">
        <f t="shared" si="18"/>
        <v>0.011855036855036749</v>
      </c>
      <c r="H203" s="438">
        <f t="shared" si="18"/>
        <v>0.011366362850609768</v>
      </c>
      <c r="I203" s="438">
        <f t="shared" si="18"/>
        <v>0.010644105583582197</v>
      </c>
      <c r="J203" s="438">
        <f t="shared" si="18"/>
        <v>0.010486751567497787</v>
      </c>
      <c r="K203" s="438">
        <f t="shared" si="18"/>
        <v>0.010022474300092066</v>
      </c>
      <c r="L203" s="438">
        <f t="shared" si="18"/>
        <v>0.010335902992147039</v>
      </c>
      <c r="M203" s="438">
        <f t="shared" si="18"/>
        <v>0.009862647007196745</v>
      </c>
      <c r="N203" s="438">
        <f t="shared" si="18"/>
        <v>0.009071058434998003</v>
      </c>
      <c r="O203" s="438">
        <f t="shared" si="18"/>
        <v>0.009024503154404284</v>
      </c>
      <c r="P203" s="438">
        <f t="shared" si="18"/>
        <v>0.009242538617273643</v>
      </c>
      <c r="Q203" s="438">
        <f t="shared" si="18"/>
        <v>0.009017818914161646</v>
      </c>
      <c r="R203" s="438">
        <f t="shared" si="18"/>
        <v>0.009296075688758343</v>
      </c>
      <c r="S203" s="438">
        <f t="shared" si="18"/>
        <v>0.009713928314686537</v>
      </c>
      <c r="T203" s="438">
        <f t="shared" si="18"/>
        <v>0.00956135976929362</v>
      </c>
      <c r="U203" s="438">
        <f t="shared" si="18"/>
        <v>0.009206030764844053</v>
      </c>
      <c r="V203" s="438">
        <f t="shared" si="18"/>
        <v>0.008842034096699924</v>
      </c>
      <c r="W203" s="438">
        <f t="shared" si="18"/>
        <v>0.00846446798880729</v>
      </c>
      <c r="X203" s="438">
        <f t="shared" si="18"/>
        <v>0.008125626097219785</v>
      </c>
      <c r="Y203" s="438">
        <f t="shared" si="18"/>
        <v>0.007774818050564569</v>
      </c>
      <c r="Z203" s="438">
        <f t="shared" si="18"/>
        <v>0.007480535962707258</v>
      </c>
      <c r="AA203" s="438">
        <f t="shared" si="18"/>
        <v>0.007173051999176394</v>
      </c>
      <c r="AB203" s="438">
        <f t="shared" si="18"/>
        <v>0.006893466360076594</v>
      </c>
      <c r="AC203" s="438">
        <f t="shared" si="18"/>
        <v>0.006645613465130928</v>
      </c>
      <c r="AD203" s="438">
        <f t="shared" si="18"/>
        <v>0.006340708678607809</v>
      </c>
      <c r="AE203" s="438">
        <f t="shared" si="18"/>
        <v>0.006133334590969541</v>
      </c>
      <c r="AF203" s="438">
        <f t="shared" si="18"/>
        <v>0.005854545710221037</v>
      </c>
      <c r="AG203" s="438">
        <f t="shared" si="18"/>
        <v>0.005594454476611999</v>
      </c>
      <c r="AH203" s="438">
        <f t="shared" si="18"/>
        <v>0.005364061022855804</v>
      </c>
      <c r="AI203" s="438">
        <f t="shared" si="18"/>
        <v>0.005137234927666157</v>
      </c>
      <c r="AJ203" s="438">
        <f aca="true" t="shared" si="19" ref="AJ203:BF203">SUM(AJ$24:AJ$99,AJ$118:AJ$193)/SUM(AI$24:AI$99,AI$118:AI$193)-1</f>
        <v>0.004886269833990653</v>
      </c>
      <c r="AK203" s="438">
        <f t="shared" si="19"/>
        <v>0.004666275718709034</v>
      </c>
      <c r="AL203" s="438">
        <f t="shared" si="19"/>
        <v>0.004435652379308541</v>
      </c>
      <c r="AM203" s="438">
        <f t="shared" si="19"/>
        <v>0.004223864836325308</v>
      </c>
      <c r="AN203" s="438">
        <f t="shared" si="19"/>
        <v>0.0040034495414496</v>
      </c>
      <c r="AO203" s="438">
        <f t="shared" si="19"/>
        <v>0.0038080714069455013</v>
      </c>
      <c r="AP203" s="438">
        <f t="shared" si="19"/>
        <v>0.003552334375202415</v>
      </c>
      <c r="AQ203" s="438">
        <f t="shared" si="19"/>
        <v>0.0033572063056706014</v>
      </c>
      <c r="AR203" s="438">
        <f t="shared" si="19"/>
        <v>0.003146279823648568</v>
      </c>
      <c r="AS203" s="438">
        <f t="shared" si="19"/>
        <v>0.0029660988832338475</v>
      </c>
      <c r="AT203" s="438">
        <f t="shared" si="19"/>
        <v>0.0027764913441394867</v>
      </c>
      <c r="AU203" s="438">
        <f t="shared" si="19"/>
        <v>0.0026478473045399298</v>
      </c>
      <c r="AV203" s="438">
        <f t="shared" si="19"/>
        <v>0.0025202176731087267</v>
      </c>
      <c r="AW203" s="438">
        <f t="shared" si="19"/>
        <v>0.0024044877937785536</v>
      </c>
      <c r="AX203" s="438">
        <f t="shared" si="19"/>
        <v>0.002298318713290781</v>
      </c>
      <c r="AY203" s="438">
        <f t="shared" si="19"/>
        <v>0.0022190090023388453</v>
      </c>
      <c r="AZ203" s="438">
        <f t="shared" si="19"/>
        <v>0.002125010592460841</v>
      </c>
      <c r="BA203" s="438">
        <f t="shared" si="19"/>
        <v>0.0020467855276651292</v>
      </c>
      <c r="BB203" s="438">
        <f t="shared" si="19"/>
        <v>0.0019733639147039295</v>
      </c>
      <c r="BC203" s="438">
        <f t="shared" si="19"/>
        <v>0.0019003729481910092</v>
      </c>
      <c r="BD203" s="438">
        <f t="shared" si="19"/>
        <v>0.0018515045899638594</v>
      </c>
      <c r="BE203" s="438">
        <f t="shared" si="19"/>
        <v>0.001731905354061647</v>
      </c>
      <c r="BF203" s="438">
        <f t="shared" si="19"/>
        <v>0.001679513585374881</v>
      </c>
    </row>
    <row r="204" spans="1:58" ht="12.75">
      <c r="A204" s="435" t="s">
        <v>704</v>
      </c>
      <c r="B204" s="436"/>
      <c r="C204" s="437"/>
      <c r="D204" s="438">
        <f aca="true" t="shared" si="20" ref="D204:AI204">SUM(D$121:D$122)/SUM(C$121:C$122)-1</f>
        <v>0.035780590717299665</v>
      </c>
      <c r="E204" s="438">
        <f t="shared" si="20"/>
        <v>0.03487045787844223</v>
      </c>
      <c r="F204" s="438">
        <f t="shared" si="20"/>
        <v>0.024877971972917745</v>
      </c>
      <c r="G204" s="438">
        <f t="shared" si="20"/>
        <v>-0.009525272699339338</v>
      </c>
      <c r="H204" s="438">
        <f t="shared" si="20"/>
        <v>-0.015045757716767527</v>
      </c>
      <c r="I204" s="438">
        <f t="shared" si="20"/>
        <v>-0.011811023622047223</v>
      </c>
      <c r="J204" s="438">
        <f t="shared" si="20"/>
        <v>-0.009402390438246977</v>
      </c>
      <c r="K204" s="438">
        <f t="shared" si="20"/>
        <v>-0.00916988416988418</v>
      </c>
      <c r="L204" s="438">
        <f t="shared" si="20"/>
        <v>-0.01688585809384635</v>
      </c>
      <c r="M204" s="438">
        <f t="shared" si="20"/>
        <v>-0.00759702725020639</v>
      </c>
      <c r="N204" s="438">
        <f t="shared" si="20"/>
        <v>-0.010484273589615567</v>
      </c>
      <c r="O204" s="438">
        <f t="shared" si="20"/>
        <v>0.007904473595694572</v>
      </c>
      <c r="P204" s="438">
        <f t="shared" si="20"/>
        <v>0.009010512264308268</v>
      </c>
      <c r="Q204" s="438">
        <f t="shared" si="20"/>
        <v>-0.02215974863568715</v>
      </c>
      <c r="R204" s="438">
        <f t="shared" si="20"/>
        <v>-0.015389819042787134</v>
      </c>
      <c r="S204" s="438">
        <f t="shared" si="20"/>
        <v>0.015630367571281445</v>
      </c>
      <c r="T204" s="438">
        <f t="shared" si="20"/>
        <v>0.01386774902756649</v>
      </c>
      <c r="U204" s="438">
        <f t="shared" si="20"/>
        <v>0.014011676396997519</v>
      </c>
      <c r="V204" s="438">
        <f t="shared" si="20"/>
        <v>0.03355815101167958</v>
      </c>
      <c r="W204" s="438">
        <f t="shared" si="20"/>
        <v>0.01941747572815533</v>
      </c>
      <c r="X204" s="438">
        <f t="shared" si="20"/>
        <v>0</v>
      </c>
      <c r="Y204" s="438">
        <f t="shared" si="20"/>
        <v>-0.006713505074160797</v>
      </c>
      <c r="Z204" s="438">
        <f t="shared" si="20"/>
        <v>-0.008330713612071716</v>
      </c>
      <c r="AA204" s="438">
        <f t="shared" si="20"/>
        <v>-0.006974163892851437</v>
      </c>
      <c r="AB204" s="438">
        <f t="shared" si="20"/>
        <v>-0.005746209098164368</v>
      </c>
      <c r="AC204" s="438">
        <f t="shared" si="20"/>
        <v>-0.004495103547921042</v>
      </c>
      <c r="AD204" s="438">
        <f t="shared" si="20"/>
        <v>-0.0035478148685695876</v>
      </c>
      <c r="AE204" s="438">
        <f t="shared" si="20"/>
        <v>-0.00242757727787668</v>
      </c>
      <c r="AF204" s="438">
        <f t="shared" si="20"/>
        <v>-0.0016223231667747973</v>
      </c>
      <c r="AG204" s="438">
        <f t="shared" si="20"/>
        <v>-0.0008124796880077945</v>
      </c>
      <c r="AH204" s="438">
        <f t="shared" si="20"/>
        <v>-0.0004878842088144042</v>
      </c>
      <c r="AI204" s="438">
        <f t="shared" si="20"/>
        <v>-0.00016270745200130943</v>
      </c>
      <c r="AJ204" s="438">
        <f aca="true" t="shared" si="21" ref="AJ204:BF204">SUM(AJ$121:AJ$122)/SUM(AI$121:AI$122)-1</f>
        <v>-0.00032546786004883366</v>
      </c>
      <c r="AK204" s="438">
        <f t="shared" si="21"/>
        <v>0.0001627869119322778</v>
      </c>
      <c r="AL204" s="438">
        <f t="shared" si="21"/>
        <v>0.00016276041666674068</v>
      </c>
      <c r="AM204" s="438">
        <f t="shared" si="21"/>
        <v>0.0001627339300243058</v>
      </c>
      <c r="AN204" s="438">
        <f t="shared" si="21"/>
        <v>0.00032541490400261885</v>
      </c>
      <c r="AO204" s="438">
        <f t="shared" si="21"/>
        <v>0.00032530904359151513</v>
      </c>
      <c r="AP204" s="438">
        <f t="shared" si="21"/>
        <v>0.00016260162601633432</v>
      </c>
      <c r="AQ204" s="438">
        <f t="shared" si="21"/>
        <v>-0.00032515038205171987</v>
      </c>
      <c r="AR204" s="438">
        <f t="shared" si="21"/>
        <v>-0.0011383964872336838</v>
      </c>
      <c r="AS204" s="438">
        <f t="shared" si="21"/>
        <v>-0.0014653207424292214</v>
      </c>
      <c r="AT204" s="438">
        <f t="shared" si="21"/>
        <v>-0.0013044187184085843</v>
      </c>
      <c r="AU204" s="438">
        <f t="shared" si="21"/>
        <v>-0.0014693877551020806</v>
      </c>
      <c r="AV204" s="438">
        <f t="shared" si="21"/>
        <v>-0.0006540222367560355</v>
      </c>
      <c r="AW204" s="438">
        <f t="shared" si="21"/>
        <v>-0.0003272251308900076</v>
      </c>
      <c r="AX204" s="438">
        <f t="shared" si="21"/>
        <v>0.0004909983633387682</v>
      </c>
      <c r="AY204" s="438">
        <f t="shared" si="21"/>
        <v>0.0011451006052674018</v>
      </c>
      <c r="AZ204" s="438">
        <f t="shared" si="21"/>
        <v>0.0016339869281045694</v>
      </c>
      <c r="BA204" s="438">
        <f t="shared" si="21"/>
        <v>0.002120717781402881</v>
      </c>
      <c r="BB204" s="438">
        <f t="shared" si="21"/>
        <v>0.0026045905909164446</v>
      </c>
      <c r="BC204" s="438">
        <f t="shared" si="21"/>
        <v>0.0025978243221302932</v>
      </c>
      <c r="BD204" s="438">
        <f t="shared" si="21"/>
        <v>0.002105263157894832</v>
      </c>
      <c r="BE204" s="438">
        <f t="shared" si="21"/>
        <v>0.0019392372333548735</v>
      </c>
      <c r="BF204" s="438">
        <f t="shared" si="21"/>
        <v>0.0014516129032258185</v>
      </c>
    </row>
    <row r="205" spans="1:58" ht="12.75">
      <c r="A205" s="435" t="s">
        <v>712</v>
      </c>
      <c r="B205" s="436"/>
      <c r="C205" s="437"/>
      <c r="D205" s="438">
        <f aca="true" t="shared" si="22" ref="D205:AI205">SUM(D$123:D$127)/SUM(C$123:C$127)-1</f>
        <v>-0.0016511867905056876</v>
      </c>
      <c r="E205" s="438">
        <f t="shared" si="22"/>
        <v>0.00013782647646620738</v>
      </c>
      <c r="F205" s="438">
        <f t="shared" si="22"/>
        <v>0.008199545235306305</v>
      </c>
      <c r="G205" s="438">
        <f t="shared" si="22"/>
        <v>0.01776927282668117</v>
      </c>
      <c r="H205" s="438">
        <f t="shared" si="22"/>
        <v>0.020615095353209822</v>
      </c>
      <c r="I205" s="438">
        <f t="shared" si="22"/>
        <v>0.01875123363379161</v>
      </c>
      <c r="J205" s="438">
        <f t="shared" si="22"/>
        <v>0.00981658486179282</v>
      </c>
      <c r="K205" s="438">
        <f t="shared" si="22"/>
        <v>-6.39549756971114E-05</v>
      </c>
      <c r="L205" s="438">
        <f t="shared" si="22"/>
        <v>-0.00831467860569235</v>
      </c>
      <c r="M205" s="438">
        <f t="shared" si="22"/>
        <v>-0.014253466623669775</v>
      </c>
      <c r="N205" s="438">
        <f t="shared" si="22"/>
        <v>-0.011122742737503244</v>
      </c>
      <c r="O205" s="438">
        <f t="shared" si="22"/>
        <v>-0.011181685854174894</v>
      </c>
      <c r="P205" s="438">
        <f t="shared" si="22"/>
        <v>-0.010705921712947486</v>
      </c>
      <c r="Q205" s="438">
        <f t="shared" si="22"/>
        <v>-0.0042610754142712315</v>
      </c>
      <c r="R205" s="438">
        <f t="shared" si="22"/>
        <v>-0.0031245754652899915</v>
      </c>
      <c r="S205" s="438">
        <f t="shared" si="22"/>
        <v>-0.006473153447805968</v>
      </c>
      <c r="T205" s="438">
        <f t="shared" si="22"/>
        <v>-0.006172416158013894</v>
      </c>
      <c r="U205" s="438">
        <f t="shared" si="22"/>
        <v>0.003933475950590015</v>
      </c>
      <c r="V205" s="438">
        <f t="shared" si="22"/>
        <v>-0.0037805883970305487</v>
      </c>
      <c r="W205" s="438">
        <f t="shared" si="22"/>
        <v>0.006071896777754882</v>
      </c>
      <c r="X205" s="438">
        <f t="shared" si="22"/>
        <v>0.019477402098621477</v>
      </c>
      <c r="Y205" s="438">
        <f t="shared" si="22"/>
        <v>0.020047090480995733</v>
      </c>
      <c r="Z205" s="438">
        <f t="shared" si="22"/>
        <v>0.012662401899360187</v>
      </c>
      <c r="AA205" s="438">
        <f t="shared" si="22"/>
        <v>0.011396939107782389</v>
      </c>
      <c r="AB205" s="438">
        <f t="shared" si="22"/>
        <v>0.003541532517707724</v>
      </c>
      <c r="AC205" s="438">
        <f t="shared" si="22"/>
        <v>-0.004683991017003564</v>
      </c>
      <c r="AD205" s="438">
        <f t="shared" si="22"/>
        <v>-0.006640020629190335</v>
      </c>
      <c r="AE205" s="438">
        <f t="shared" si="22"/>
        <v>-0.006554610941657435</v>
      </c>
      <c r="AF205" s="438">
        <f t="shared" si="22"/>
        <v>-0.005291350927619565</v>
      </c>
      <c r="AG205" s="438">
        <f t="shared" si="22"/>
        <v>-0.004137387535299131</v>
      </c>
      <c r="AH205" s="438">
        <f t="shared" si="22"/>
        <v>-0.0030994460564495174</v>
      </c>
      <c r="AI205" s="438">
        <f t="shared" si="22"/>
        <v>-0.0020506714295164263</v>
      </c>
      <c r="AJ205" s="438">
        <f aca="true" t="shared" si="23" ref="AJ205:BF205">SUM(AJ$123:AJ$127)/SUM(AI$123:AI$127)-1</f>
        <v>-0.0014583057139069266</v>
      </c>
      <c r="AK205" s="438">
        <f t="shared" si="23"/>
        <v>-0.0008629845990441032</v>
      </c>
      <c r="AL205" s="438">
        <f t="shared" si="23"/>
        <v>-0.0005315261444421848</v>
      </c>
      <c r="AM205" s="438">
        <f t="shared" si="23"/>
        <v>-0.00013295220368281235</v>
      </c>
      <c r="AN205" s="438">
        <f t="shared" si="23"/>
        <v>-6.648494116079373E-05</v>
      </c>
      <c r="AO205" s="438">
        <f t="shared" si="23"/>
        <v>6.648936170217112E-05</v>
      </c>
      <c r="AP205" s="438">
        <f t="shared" si="23"/>
        <v>0.00019945482348249222</v>
      </c>
      <c r="AQ205" s="438">
        <f t="shared" si="23"/>
        <v>0.00019941504918907782</v>
      </c>
      <c r="AR205" s="438">
        <f t="shared" si="23"/>
        <v>0.00019937529075564342</v>
      </c>
      <c r="AS205" s="438">
        <f t="shared" si="23"/>
        <v>0</v>
      </c>
      <c r="AT205" s="438">
        <f t="shared" si="23"/>
        <v>-0.00033222591362125353</v>
      </c>
      <c r="AU205" s="438">
        <f t="shared" si="23"/>
        <v>-0.0007311399135925267</v>
      </c>
      <c r="AV205" s="438">
        <f t="shared" si="23"/>
        <v>-0.0009312225621923576</v>
      </c>
      <c r="AW205" s="438">
        <f t="shared" si="23"/>
        <v>-0.0012649800266311129</v>
      </c>
      <c r="AX205" s="438">
        <f t="shared" si="23"/>
        <v>-0.0011332577828144785</v>
      </c>
      <c r="AY205" s="438">
        <f t="shared" si="23"/>
        <v>-0.0009343299519487536</v>
      </c>
      <c r="AZ205" s="438">
        <f t="shared" si="23"/>
        <v>-0.00040080160320643543</v>
      </c>
      <c r="BA205" s="438">
        <f t="shared" si="23"/>
        <v>6.682705159044566E-05</v>
      </c>
      <c r="BB205" s="438">
        <f t="shared" si="23"/>
        <v>0.0008018710324089184</v>
      </c>
      <c r="BC205" s="438">
        <f t="shared" si="23"/>
        <v>0.0013353809174065923</v>
      </c>
      <c r="BD205" s="438">
        <f t="shared" si="23"/>
        <v>0.0018670400746816362</v>
      </c>
      <c r="BE205" s="438">
        <f t="shared" si="23"/>
        <v>0.0021963394342761067</v>
      </c>
      <c r="BF205" s="438">
        <f t="shared" si="23"/>
        <v>0.0023907557444546867</v>
      </c>
    </row>
    <row r="206" spans="1:58" ht="12.75">
      <c r="A206" s="435" t="s">
        <v>714</v>
      </c>
      <c r="B206" s="436"/>
      <c r="C206" s="437"/>
      <c r="D206" s="438">
        <f aca="true" t="shared" si="24" ref="D206:AI206">SUM(D$128:D$132)/SUM(C$128:C$132)-1</f>
        <v>0.01564371257485031</v>
      </c>
      <c r="E206" s="438">
        <f t="shared" si="24"/>
        <v>0.02107745596580446</v>
      </c>
      <c r="F206" s="438">
        <f t="shared" si="24"/>
        <v>0.013713460844460457</v>
      </c>
      <c r="G206" s="438">
        <f t="shared" si="24"/>
        <v>0.012175151299394837</v>
      </c>
      <c r="H206" s="438">
        <f t="shared" si="24"/>
        <v>0.0075970737197523786</v>
      </c>
      <c r="I206" s="438">
        <f t="shared" si="24"/>
        <v>-0.0015358838313320744</v>
      </c>
      <c r="J206" s="438">
        <f t="shared" si="24"/>
        <v>0.002167529016920744</v>
      </c>
      <c r="K206" s="438">
        <f t="shared" si="24"/>
        <v>0.008930440242796323</v>
      </c>
      <c r="L206" s="438">
        <f t="shared" si="24"/>
        <v>0.018048544360694363</v>
      </c>
      <c r="M206" s="438">
        <f t="shared" si="24"/>
        <v>0.020785219399538146</v>
      </c>
      <c r="N206" s="438">
        <f t="shared" si="24"/>
        <v>0.018964599414426297</v>
      </c>
      <c r="O206" s="438">
        <f t="shared" si="24"/>
        <v>0.010122118461437957</v>
      </c>
      <c r="P206" s="438">
        <f t="shared" si="24"/>
        <v>-0.00025859839668995743</v>
      </c>
      <c r="Q206" s="438">
        <f t="shared" si="24"/>
        <v>-0.008212622866011432</v>
      </c>
      <c r="R206" s="438">
        <f t="shared" si="24"/>
        <v>-0.01434439590532699</v>
      </c>
      <c r="S206" s="438">
        <f t="shared" si="24"/>
        <v>-0.011245617516703055</v>
      </c>
      <c r="T206" s="438">
        <f t="shared" si="24"/>
        <v>-0.011306616712383755</v>
      </c>
      <c r="U206" s="438">
        <f t="shared" si="24"/>
        <v>-0.010759236703207442</v>
      </c>
      <c r="V206" s="438">
        <f t="shared" si="24"/>
        <v>-0.004309460291401557</v>
      </c>
      <c r="W206" s="438">
        <f t="shared" si="24"/>
        <v>-0.003160208848584811</v>
      </c>
      <c r="X206" s="438">
        <f t="shared" si="24"/>
        <v>-0.006547208821502393</v>
      </c>
      <c r="Y206" s="438">
        <f t="shared" si="24"/>
        <v>-0.00624349635796051</v>
      </c>
      <c r="Z206" s="438">
        <f t="shared" si="24"/>
        <v>0.004048865619546316</v>
      </c>
      <c r="AA206" s="438">
        <f t="shared" si="24"/>
        <v>-0.0037544323159285353</v>
      </c>
      <c r="AB206" s="438">
        <f t="shared" si="24"/>
        <v>0.006071603042780316</v>
      </c>
      <c r="AC206" s="438">
        <f t="shared" si="24"/>
        <v>0.019700332963374034</v>
      </c>
      <c r="AD206" s="438">
        <f t="shared" si="24"/>
        <v>0.020272108843537362</v>
      </c>
      <c r="AE206" s="438">
        <f t="shared" si="24"/>
        <v>0.01280170689425253</v>
      </c>
      <c r="AF206" s="438">
        <f t="shared" si="24"/>
        <v>0.011586570111915773</v>
      </c>
      <c r="AG206" s="438">
        <f t="shared" si="24"/>
        <v>0.0035793309904985637</v>
      </c>
      <c r="AH206" s="438">
        <f t="shared" si="24"/>
        <v>-0.004733804552233933</v>
      </c>
      <c r="AI206" s="438">
        <f t="shared" si="24"/>
        <v>-0.006645817044566016</v>
      </c>
      <c r="AJ206" s="438">
        <f aca="true" t="shared" si="25" ref="AJ206:BF206">SUM(AJ$128:AJ$132)/SUM(AI$128:AI$132)-1</f>
        <v>-0.00662468844287023</v>
      </c>
      <c r="AK206" s="438">
        <f t="shared" si="25"/>
        <v>-0.005348299768900611</v>
      </c>
      <c r="AL206" s="438">
        <f t="shared" si="25"/>
        <v>-0.004248539564524645</v>
      </c>
      <c r="AM206" s="438">
        <f t="shared" si="25"/>
        <v>-0.0030000000000000027</v>
      </c>
      <c r="AN206" s="438">
        <f t="shared" si="25"/>
        <v>-0.002273487128050866</v>
      </c>
      <c r="AO206" s="438">
        <f t="shared" si="25"/>
        <v>-0.0014074123718249565</v>
      </c>
      <c r="AP206" s="438">
        <f t="shared" si="25"/>
        <v>-0.0008053691275168307</v>
      </c>
      <c r="AQ206" s="438">
        <f t="shared" si="25"/>
        <v>-0.0005373455131649774</v>
      </c>
      <c r="AR206" s="438">
        <f t="shared" si="25"/>
        <v>-0.0001344086021505264</v>
      </c>
      <c r="AS206" s="438">
        <f t="shared" si="25"/>
        <v>-6.721333512571537E-05</v>
      </c>
      <c r="AT206" s="438">
        <f t="shared" si="25"/>
        <v>6.721785306185168E-05</v>
      </c>
      <c r="AU206" s="438">
        <f t="shared" si="25"/>
        <v>0.00026885334050286147</v>
      </c>
      <c r="AV206" s="438">
        <f t="shared" si="25"/>
        <v>0.0002015858083590505</v>
      </c>
      <c r="AW206" s="438">
        <f t="shared" si="25"/>
        <v>0.00020154517971104902</v>
      </c>
      <c r="AX206" s="438">
        <f t="shared" si="25"/>
        <v>0</v>
      </c>
      <c r="AY206" s="438">
        <f t="shared" si="25"/>
        <v>-0.0002686727565824887</v>
      </c>
      <c r="AZ206" s="438">
        <f t="shared" si="25"/>
        <v>-0.0007390486428379139</v>
      </c>
      <c r="BA206" s="438">
        <f t="shared" si="25"/>
        <v>-0.0009413030323405236</v>
      </c>
      <c r="BB206" s="438">
        <f t="shared" si="25"/>
        <v>-0.0012113870381587066</v>
      </c>
      <c r="BC206" s="438">
        <f t="shared" si="25"/>
        <v>-0.0012802371807829616</v>
      </c>
      <c r="BD206" s="438">
        <f t="shared" si="25"/>
        <v>-0.0008770746188099254</v>
      </c>
      <c r="BE206" s="438">
        <f t="shared" si="25"/>
        <v>-0.00040515902491733424</v>
      </c>
      <c r="BF206" s="438">
        <f t="shared" si="25"/>
        <v>0.0001351077484292862</v>
      </c>
    </row>
    <row r="207" spans="1:58" ht="12.75">
      <c r="A207" s="435" t="s">
        <v>716</v>
      </c>
      <c r="B207" s="436"/>
      <c r="C207" s="437"/>
      <c r="D207" s="438">
        <f aca="true" t="shared" si="26" ref="D207:AI207">SUM(D$133:D$137)/SUM(C$133:C$137)-1</f>
        <v>-0.02852561961386868</v>
      </c>
      <c r="E207" s="438">
        <f t="shared" si="26"/>
        <v>-0.024205748865355536</v>
      </c>
      <c r="F207" s="438">
        <f t="shared" si="26"/>
        <v>-0.009302325581395321</v>
      </c>
      <c r="G207" s="438">
        <f t="shared" si="26"/>
        <v>-0.00014226774790160324</v>
      </c>
      <c r="H207" s="438">
        <f t="shared" si="26"/>
        <v>0.011454183266932372</v>
      </c>
      <c r="I207" s="438">
        <f t="shared" si="26"/>
        <v>0.014630372089751598</v>
      </c>
      <c r="J207" s="438">
        <f t="shared" si="26"/>
        <v>0.021837088388214854</v>
      </c>
      <c r="K207" s="438">
        <f t="shared" si="26"/>
        <v>0.013432835820895495</v>
      </c>
      <c r="L207" s="438">
        <f t="shared" si="26"/>
        <v>0.011514258936939248</v>
      </c>
      <c r="M207" s="438">
        <f t="shared" si="26"/>
        <v>0.007279947054930513</v>
      </c>
      <c r="N207" s="438">
        <f t="shared" si="26"/>
        <v>-0.0015111695137975945</v>
      </c>
      <c r="O207" s="438">
        <f t="shared" si="26"/>
        <v>0.002039876291373366</v>
      </c>
      <c r="P207" s="438">
        <f t="shared" si="26"/>
        <v>0.008471237194641379</v>
      </c>
      <c r="Q207" s="438">
        <f t="shared" si="26"/>
        <v>0.016995506934948335</v>
      </c>
      <c r="R207" s="438">
        <f t="shared" si="26"/>
        <v>0.01959277756434874</v>
      </c>
      <c r="S207" s="438">
        <f t="shared" si="26"/>
        <v>0.017960311479527702</v>
      </c>
      <c r="T207" s="438">
        <f t="shared" si="26"/>
        <v>0.00943861813695257</v>
      </c>
      <c r="U207" s="438">
        <f t="shared" si="26"/>
        <v>-6.111348774673342E-05</v>
      </c>
      <c r="V207" s="438">
        <f t="shared" si="26"/>
        <v>-0.0078841217455079</v>
      </c>
      <c r="W207" s="438">
        <f t="shared" si="26"/>
        <v>-0.013367830961621419</v>
      </c>
      <c r="X207" s="438">
        <f t="shared" si="26"/>
        <v>-0.01067682317682317</v>
      </c>
      <c r="Y207" s="438">
        <f t="shared" si="26"/>
        <v>-0.01066582518144521</v>
      </c>
      <c r="Z207" s="438">
        <f t="shared" si="26"/>
        <v>-0.010079101811686697</v>
      </c>
      <c r="AA207" s="438">
        <f t="shared" si="26"/>
        <v>-0.003995360226833333</v>
      </c>
      <c r="AB207" s="438">
        <f t="shared" si="26"/>
        <v>-0.0029761904761904656</v>
      </c>
      <c r="AC207" s="438">
        <f t="shared" si="26"/>
        <v>-0.006035042180402295</v>
      </c>
      <c r="AD207" s="438">
        <f t="shared" si="26"/>
        <v>-0.005941111183652148</v>
      </c>
      <c r="AE207" s="438">
        <f t="shared" si="26"/>
        <v>0.003874950742151606</v>
      </c>
      <c r="AF207" s="438">
        <f t="shared" si="26"/>
        <v>-0.00359829898593389</v>
      </c>
      <c r="AG207" s="438">
        <f t="shared" si="26"/>
        <v>0.005712409717662403</v>
      </c>
      <c r="AH207" s="438">
        <f t="shared" si="26"/>
        <v>0.0184762029117973</v>
      </c>
      <c r="AI207" s="438">
        <f t="shared" si="26"/>
        <v>0.019166666666666776</v>
      </c>
      <c r="AJ207" s="438">
        <f aca="true" t="shared" si="27" ref="AJ207:BF207">SUM(AJ$133:AJ$137)/SUM(AI$133:AI$137)-1</f>
        <v>0.012139128247059539</v>
      </c>
      <c r="AK207" s="438">
        <f t="shared" si="27"/>
        <v>0.010874968928660245</v>
      </c>
      <c r="AL207" s="438">
        <f t="shared" si="27"/>
        <v>0.0034425524067129842</v>
      </c>
      <c r="AM207" s="438">
        <f t="shared" si="27"/>
        <v>-0.004533480365128906</v>
      </c>
      <c r="AN207" s="438">
        <f t="shared" si="27"/>
        <v>-0.006338851621638275</v>
      </c>
      <c r="AO207" s="438">
        <f t="shared" si="27"/>
        <v>-0.006131549609810438</v>
      </c>
      <c r="AP207" s="438">
        <f t="shared" si="27"/>
        <v>-0.0050476724621424385</v>
      </c>
      <c r="AQ207" s="438">
        <f t="shared" si="27"/>
        <v>-0.003945885005636973</v>
      </c>
      <c r="AR207" s="438">
        <f t="shared" si="27"/>
        <v>-0.0029554172168773096</v>
      </c>
      <c r="AS207" s="438">
        <f t="shared" si="27"/>
        <v>-0.0019550958627648773</v>
      </c>
      <c r="AT207" s="438">
        <f t="shared" si="27"/>
        <v>-0.0013270142180095146</v>
      </c>
      <c r="AU207" s="438">
        <f t="shared" si="27"/>
        <v>-0.0008858516831181662</v>
      </c>
      <c r="AV207" s="438">
        <f t="shared" si="27"/>
        <v>-0.0004433185560481778</v>
      </c>
      <c r="AW207" s="438">
        <f t="shared" si="27"/>
        <v>-6.335931065071243E-05</v>
      </c>
      <c r="AX207" s="438">
        <f t="shared" si="27"/>
        <v>-0.00012672665061463917</v>
      </c>
      <c r="AY207" s="438">
        <f t="shared" si="27"/>
        <v>0.00012674271229395906</v>
      </c>
      <c r="AZ207" s="438">
        <f t="shared" si="27"/>
        <v>0.00019008997592195875</v>
      </c>
      <c r="BA207" s="438">
        <f t="shared" si="27"/>
        <v>0.00019005384859038799</v>
      </c>
      <c r="BB207" s="438">
        <f t="shared" si="27"/>
        <v>0.00019001773498850127</v>
      </c>
      <c r="BC207" s="438">
        <f t="shared" si="27"/>
        <v>6.332721170276834E-05</v>
      </c>
      <c r="BD207" s="438">
        <f t="shared" si="27"/>
        <v>-0.00031661600810539703</v>
      </c>
      <c r="BE207" s="438">
        <f t="shared" si="27"/>
        <v>-0.000633432571102821</v>
      </c>
      <c r="BF207" s="438">
        <f t="shared" si="27"/>
        <v>-0.0008873676871394842</v>
      </c>
    </row>
    <row r="208" spans="1:58" ht="12.75">
      <c r="A208" s="435" t="s">
        <v>717</v>
      </c>
      <c r="B208" s="436"/>
      <c r="C208" s="437"/>
      <c r="D208" s="438">
        <f aca="true" t="shared" si="28" ref="D208:AI208">SUM(D$138:D$142)/SUM(C$138:C$142)-1</f>
        <v>0.0077713866111859264</v>
      </c>
      <c r="E208" s="438">
        <f t="shared" si="28"/>
        <v>-0.0027324063391827025</v>
      </c>
      <c r="F208" s="438">
        <f t="shared" si="28"/>
        <v>-0.011872868972235717</v>
      </c>
      <c r="G208" s="438">
        <f t="shared" si="28"/>
        <v>-0.016452030316100763</v>
      </c>
      <c r="H208" s="438">
        <f t="shared" si="28"/>
        <v>-0.03050996115774962</v>
      </c>
      <c r="I208" s="438">
        <f t="shared" si="28"/>
        <v>-0.02772213247172861</v>
      </c>
      <c r="J208" s="438">
        <f t="shared" si="28"/>
        <v>-0.022397979529443002</v>
      </c>
      <c r="K208" s="438">
        <f t="shared" si="28"/>
        <v>-0.00849819838194299</v>
      </c>
      <c r="L208" s="438">
        <f t="shared" si="28"/>
        <v>-0.00013713658804170858</v>
      </c>
      <c r="M208" s="438">
        <f t="shared" si="28"/>
        <v>0.011178164860787376</v>
      </c>
      <c r="N208" s="438">
        <f t="shared" si="28"/>
        <v>0.014038657171922653</v>
      </c>
      <c r="O208" s="438">
        <f t="shared" si="28"/>
        <v>0.021134296415195264</v>
      </c>
      <c r="P208" s="438">
        <f t="shared" si="28"/>
        <v>0.012837306785433489</v>
      </c>
      <c r="Q208" s="438">
        <f t="shared" si="28"/>
        <v>0.011251939989653348</v>
      </c>
      <c r="R208" s="438">
        <f t="shared" si="28"/>
        <v>0.0069062539966746606</v>
      </c>
      <c r="S208" s="438">
        <f t="shared" si="28"/>
        <v>-0.0013336720436936123</v>
      </c>
      <c r="T208" s="438">
        <f t="shared" si="28"/>
        <v>0.00216216216216214</v>
      </c>
      <c r="U208" s="438">
        <f t="shared" si="28"/>
        <v>0.00805888698521473</v>
      </c>
      <c r="V208" s="438">
        <f t="shared" si="28"/>
        <v>0.016429560619413364</v>
      </c>
      <c r="W208" s="438">
        <f t="shared" si="28"/>
        <v>0.019012819718833285</v>
      </c>
      <c r="X208" s="438">
        <f t="shared" si="28"/>
        <v>0.017199465175641082</v>
      </c>
      <c r="Y208" s="438">
        <f t="shared" si="28"/>
        <v>0.009260918922148642</v>
      </c>
      <c r="Z208" s="438">
        <f t="shared" si="28"/>
        <v>0</v>
      </c>
      <c r="AA208" s="438">
        <f t="shared" si="28"/>
        <v>-0.007577551503670343</v>
      </c>
      <c r="AB208" s="438">
        <f t="shared" si="28"/>
        <v>-0.013063707945597747</v>
      </c>
      <c r="AC208" s="438">
        <f t="shared" si="28"/>
        <v>-0.01015412511332725</v>
      </c>
      <c r="AD208" s="438">
        <f t="shared" si="28"/>
        <v>-0.010258289063931114</v>
      </c>
      <c r="AE208" s="438">
        <f t="shared" si="28"/>
        <v>-0.009624282805848594</v>
      </c>
      <c r="AF208" s="438">
        <f t="shared" si="28"/>
        <v>-0.003924500093440475</v>
      </c>
      <c r="AG208" s="438">
        <f t="shared" si="28"/>
        <v>-0.0028142589118198558</v>
      </c>
      <c r="AH208" s="438">
        <f t="shared" si="28"/>
        <v>-0.005895264973345915</v>
      </c>
      <c r="AI208" s="438">
        <f t="shared" si="28"/>
        <v>-0.00561478771055457</v>
      </c>
      <c r="AJ208" s="438">
        <f aca="true" t="shared" si="29" ref="AJ208:BF208">SUM(AJ$138:AJ$142)/SUM(AI$138:AI$142)-1</f>
        <v>0.0037431797995177707</v>
      </c>
      <c r="AK208" s="438">
        <f t="shared" si="29"/>
        <v>-0.003476392137033102</v>
      </c>
      <c r="AL208" s="438">
        <f t="shared" si="29"/>
        <v>0.005581631358619887</v>
      </c>
      <c r="AM208" s="438">
        <f t="shared" si="29"/>
        <v>0.017850384760943694</v>
      </c>
      <c r="AN208" s="438">
        <f t="shared" si="29"/>
        <v>0.0184668773625829</v>
      </c>
      <c r="AO208" s="438">
        <f t="shared" si="29"/>
        <v>0.011682385153635622</v>
      </c>
      <c r="AP208" s="438">
        <f t="shared" si="29"/>
        <v>0.010585192758765904</v>
      </c>
      <c r="AQ208" s="438">
        <f t="shared" si="29"/>
        <v>0.003332738201511587</v>
      </c>
      <c r="AR208" s="438">
        <f t="shared" si="29"/>
        <v>-0.0042707159380745985</v>
      </c>
      <c r="AS208" s="438">
        <f t="shared" si="29"/>
        <v>-0.006135700244236597</v>
      </c>
      <c r="AT208" s="438">
        <f t="shared" si="29"/>
        <v>-0.005993766482857876</v>
      </c>
      <c r="AU208" s="438">
        <f t="shared" si="29"/>
        <v>-0.004823926676314483</v>
      </c>
      <c r="AV208" s="438">
        <f t="shared" si="29"/>
        <v>-0.003817256422685378</v>
      </c>
      <c r="AW208" s="438">
        <f t="shared" si="29"/>
        <v>-0.0028587068913082936</v>
      </c>
      <c r="AX208" s="438">
        <f t="shared" si="29"/>
        <v>-0.0018909357081858813</v>
      </c>
      <c r="AY208" s="438">
        <f t="shared" si="29"/>
        <v>-0.0012833832426816238</v>
      </c>
      <c r="AZ208" s="438">
        <f t="shared" si="29"/>
        <v>-0.0007954962672866994</v>
      </c>
      <c r="BA208" s="438">
        <f t="shared" si="29"/>
        <v>-0.000428685161369291</v>
      </c>
      <c r="BB208" s="438">
        <f t="shared" si="29"/>
        <v>-0.0002450680063718069</v>
      </c>
      <c r="BC208" s="438">
        <f t="shared" si="29"/>
        <v>0</v>
      </c>
      <c r="BD208" s="438">
        <f t="shared" si="29"/>
        <v>0.00012256403971067087</v>
      </c>
      <c r="BE208" s="438">
        <f t="shared" si="29"/>
        <v>0.00018382352941181956</v>
      </c>
      <c r="BF208" s="438">
        <f t="shared" si="29"/>
        <v>0.00030631624088717224</v>
      </c>
    </row>
    <row r="209" spans="1:58" ht="12.75">
      <c r="A209" s="435" t="s">
        <v>720</v>
      </c>
      <c r="B209" s="436"/>
      <c r="C209" s="437"/>
      <c r="D209" s="438">
        <f aca="true" t="shared" si="30" ref="D209:AI209">SUM(D$143:D$147)/SUM(C$143:C$147)-1</f>
        <v>-0.010327849165365666</v>
      </c>
      <c r="E209" s="438">
        <f t="shared" si="30"/>
        <v>-0.010496298992840658</v>
      </c>
      <c r="F209" s="438">
        <f t="shared" si="30"/>
        <v>-0.001287632595499466</v>
      </c>
      <c r="G209" s="438">
        <f t="shared" si="30"/>
        <v>0.003990667976424334</v>
      </c>
      <c r="H209" s="438">
        <f t="shared" si="30"/>
        <v>0.012230171833914172</v>
      </c>
      <c r="I209" s="438">
        <f t="shared" si="30"/>
        <v>0.00773273726816881</v>
      </c>
      <c r="J209" s="438">
        <f t="shared" si="30"/>
        <v>-0.0020981955518254436</v>
      </c>
      <c r="K209" s="438">
        <f t="shared" si="30"/>
        <v>-0.011354079058031985</v>
      </c>
      <c r="L209" s="438">
        <f t="shared" si="30"/>
        <v>-0.016102570334811883</v>
      </c>
      <c r="M209" s="438">
        <f t="shared" si="30"/>
        <v>-0.029891304347826053</v>
      </c>
      <c r="N209" s="438">
        <f t="shared" si="30"/>
        <v>-0.027119938884644812</v>
      </c>
      <c r="O209" s="438">
        <f t="shared" si="30"/>
        <v>-0.021790341578327488</v>
      </c>
      <c r="P209" s="438">
        <f t="shared" si="30"/>
        <v>-0.008361763328650795</v>
      </c>
      <c r="Q209" s="438">
        <f t="shared" si="30"/>
        <v>-6.74581759309012E-05</v>
      </c>
      <c r="R209" s="438">
        <f t="shared" si="30"/>
        <v>0.010996424475477218</v>
      </c>
      <c r="S209" s="438">
        <f t="shared" si="30"/>
        <v>0.01401307887361547</v>
      </c>
      <c r="T209" s="438">
        <f t="shared" si="30"/>
        <v>0.020663332455909345</v>
      </c>
      <c r="U209" s="438">
        <f t="shared" si="30"/>
        <v>0.012765957446808418</v>
      </c>
      <c r="V209" s="438">
        <f t="shared" si="30"/>
        <v>0.010886172650878434</v>
      </c>
      <c r="W209" s="438">
        <f t="shared" si="30"/>
        <v>0.0069273883745828435</v>
      </c>
      <c r="X209" s="438">
        <f t="shared" si="30"/>
        <v>-0.0012508599662267583</v>
      </c>
      <c r="Y209" s="438">
        <f t="shared" si="30"/>
        <v>0.002066503851211765</v>
      </c>
      <c r="Z209" s="438">
        <f t="shared" si="30"/>
        <v>0.008186476690413613</v>
      </c>
      <c r="AA209" s="438">
        <f t="shared" si="30"/>
        <v>0.016054050703526945</v>
      </c>
      <c r="AB209" s="438">
        <f t="shared" si="30"/>
        <v>0.018667642752562275</v>
      </c>
      <c r="AC209" s="438">
        <f t="shared" si="30"/>
        <v>0.016948137501497262</v>
      </c>
      <c r="AD209" s="438">
        <f t="shared" si="30"/>
        <v>0.00912784877215711</v>
      </c>
      <c r="AE209" s="438">
        <f t="shared" si="30"/>
        <v>0</v>
      </c>
      <c r="AF209" s="438">
        <f t="shared" si="30"/>
        <v>-0.007469654528478031</v>
      </c>
      <c r="AG209" s="438">
        <f t="shared" si="30"/>
        <v>-0.012641110065851335</v>
      </c>
      <c r="AH209" s="438">
        <f t="shared" si="30"/>
        <v>-0.01000416840350149</v>
      </c>
      <c r="AI209" s="438">
        <f t="shared" si="30"/>
        <v>-0.010045112781954857</v>
      </c>
      <c r="AJ209" s="438">
        <f aca="true" t="shared" si="31" ref="AJ209:BF209">SUM(AJ$143:AJ$147)/SUM(AI$143:AI$147)-1</f>
        <v>-0.009417912261514116</v>
      </c>
      <c r="AK209" s="438">
        <f t="shared" si="31"/>
        <v>-0.0038029810464331737</v>
      </c>
      <c r="AL209" s="438">
        <f t="shared" si="31"/>
        <v>-0.0028323379102271895</v>
      </c>
      <c r="AM209" s="438">
        <f t="shared" si="31"/>
        <v>-0.005680765668416132</v>
      </c>
      <c r="AN209" s="438">
        <f t="shared" si="31"/>
        <v>-0.005464820219834854</v>
      </c>
      <c r="AO209" s="438">
        <f t="shared" si="31"/>
        <v>0.003621604745551066</v>
      </c>
      <c r="AP209" s="438">
        <f t="shared" si="31"/>
        <v>-0.0032974553599203205</v>
      </c>
      <c r="AQ209" s="438">
        <f t="shared" si="31"/>
        <v>0.005430711610486805</v>
      </c>
      <c r="AR209" s="438">
        <f t="shared" si="31"/>
        <v>0.017570000620848125</v>
      </c>
      <c r="AS209" s="438">
        <f t="shared" si="31"/>
        <v>0.018120805369127524</v>
      </c>
      <c r="AT209" s="438">
        <f t="shared" si="31"/>
        <v>0.011505962725474994</v>
      </c>
      <c r="AU209" s="438">
        <f t="shared" si="31"/>
        <v>0.0103679127910421</v>
      </c>
      <c r="AV209" s="438">
        <f t="shared" si="31"/>
        <v>0.0032250498416792617</v>
      </c>
      <c r="AW209" s="438">
        <f t="shared" si="31"/>
        <v>-0.004208311415044741</v>
      </c>
      <c r="AX209" s="438">
        <f t="shared" si="31"/>
        <v>-0.005928273757116909</v>
      </c>
      <c r="AY209" s="438">
        <f t="shared" si="31"/>
        <v>-0.00590458195559751</v>
      </c>
      <c r="AZ209" s="438">
        <f t="shared" si="31"/>
        <v>-0.004692325968163491</v>
      </c>
      <c r="BA209" s="438">
        <f t="shared" si="31"/>
        <v>-0.003699946291102263</v>
      </c>
      <c r="BB209" s="438">
        <f t="shared" si="31"/>
        <v>-0.0028751123090745567</v>
      </c>
      <c r="BC209" s="438">
        <f t="shared" si="31"/>
        <v>-0.0018621973929237035</v>
      </c>
      <c r="BD209" s="438">
        <f t="shared" si="31"/>
        <v>-0.0011434761675493954</v>
      </c>
      <c r="BE209" s="438">
        <f t="shared" si="31"/>
        <v>-0.000843525938422629</v>
      </c>
      <c r="BF209" s="438">
        <f t="shared" si="31"/>
        <v>-0.00042211903756861346</v>
      </c>
    </row>
    <row r="210" spans="1:58" ht="12.75">
      <c r="A210" s="435" t="s">
        <v>721</v>
      </c>
      <c r="B210" s="436"/>
      <c r="C210" s="437"/>
      <c r="D210" s="438">
        <f aca="true" t="shared" si="32" ref="D210:AI210">SUM(D$148:D$152)/SUM(C$148:C$152)-1</f>
        <v>0.029477731496315274</v>
      </c>
      <c r="E210" s="438">
        <f t="shared" si="32"/>
        <v>0.025832555244319932</v>
      </c>
      <c r="F210" s="438">
        <f t="shared" si="32"/>
        <v>0.01207524271844651</v>
      </c>
      <c r="G210" s="438">
        <f t="shared" si="32"/>
        <v>0.003177648540080291</v>
      </c>
      <c r="H210" s="438">
        <f t="shared" si="32"/>
        <v>-0.00806837198183119</v>
      </c>
      <c r="I210" s="438">
        <f t="shared" si="32"/>
        <v>-0.010303066819304707</v>
      </c>
      <c r="J210" s="438">
        <f t="shared" si="32"/>
        <v>-0.00961889687081452</v>
      </c>
      <c r="K210" s="438">
        <f t="shared" si="32"/>
        <v>-0.0009835259404966656</v>
      </c>
      <c r="L210" s="438">
        <f t="shared" si="32"/>
        <v>0.0040610386413979516</v>
      </c>
      <c r="M210" s="438">
        <f t="shared" si="32"/>
        <v>0.012256403971074858</v>
      </c>
      <c r="N210" s="438">
        <f t="shared" si="32"/>
        <v>0.007809662186705424</v>
      </c>
      <c r="O210" s="438">
        <f t="shared" si="32"/>
        <v>-0.0019222682765663857</v>
      </c>
      <c r="P210" s="438">
        <f t="shared" si="32"/>
        <v>-0.011254890159494435</v>
      </c>
      <c r="Q210" s="438">
        <f t="shared" si="32"/>
        <v>-0.015948380813245677</v>
      </c>
      <c r="R210" s="438">
        <f t="shared" si="32"/>
        <v>-0.029630087838673713</v>
      </c>
      <c r="S210" s="438">
        <f t="shared" si="32"/>
        <v>-0.02690125581691849</v>
      </c>
      <c r="T210" s="438">
        <f t="shared" si="32"/>
        <v>-0.02161808057648218</v>
      </c>
      <c r="U210" s="438">
        <f t="shared" si="32"/>
        <v>-0.008168731168396337</v>
      </c>
      <c r="V210" s="438">
        <f t="shared" si="32"/>
        <v>6.750826976298363E-05</v>
      </c>
      <c r="W210" s="438">
        <f t="shared" si="32"/>
        <v>0.011070608883488653</v>
      </c>
      <c r="X210" s="438">
        <f t="shared" si="32"/>
        <v>0.013820269728935797</v>
      </c>
      <c r="Y210" s="438">
        <f t="shared" si="32"/>
        <v>0.02067830095488965</v>
      </c>
      <c r="Z210" s="438">
        <f t="shared" si="32"/>
        <v>0.01283953803471194</v>
      </c>
      <c r="AA210" s="438">
        <f t="shared" si="32"/>
        <v>0.011020512167155161</v>
      </c>
      <c r="AB210" s="438">
        <f t="shared" si="32"/>
        <v>0.006804864217755613</v>
      </c>
      <c r="AC210" s="438">
        <f t="shared" si="32"/>
        <v>-0.0011890606420927874</v>
      </c>
      <c r="AD210" s="438">
        <f t="shared" si="32"/>
        <v>0.0020676691729324403</v>
      </c>
      <c r="AE210" s="438">
        <f t="shared" si="32"/>
        <v>0.0081285562433564</v>
      </c>
      <c r="AF210" s="438">
        <f t="shared" si="32"/>
        <v>0.016126031135644814</v>
      </c>
      <c r="AG210" s="438">
        <f t="shared" si="32"/>
        <v>0.018738936702679565</v>
      </c>
      <c r="AH210" s="438">
        <f t="shared" si="32"/>
        <v>0.016956261234271963</v>
      </c>
      <c r="AI210" s="438">
        <f t="shared" si="32"/>
        <v>0.009073233959818516</v>
      </c>
      <c r="AJ210" s="438">
        <f aca="true" t="shared" si="33" ref="AJ210:BF210">SUM(AJ$148:AJ$152)/SUM(AI$148:AI$152)-1</f>
        <v>0</v>
      </c>
      <c r="AK210" s="438">
        <f t="shared" si="33"/>
        <v>-0.0072984177030419595</v>
      </c>
      <c r="AL210" s="438">
        <f t="shared" si="33"/>
        <v>-0.012645571109281217</v>
      </c>
      <c r="AM210" s="438">
        <f t="shared" si="33"/>
        <v>-0.009948174182403013</v>
      </c>
      <c r="AN210" s="438">
        <f t="shared" si="33"/>
        <v>-0.009807460890493336</v>
      </c>
      <c r="AO210" s="438">
        <f t="shared" si="33"/>
        <v>-0.009540013368171563</v>
      </c>
      <c r="AP210" s="438">
        <f t="shared" si="33"/>
        <v>-0.0036196319018404477</v>
      </c>
      <c r="AQ210" s="438">
        <f t="shared" si="33"/>
        <v>-0.0027091927836956353</v>
      </c>
      <c r="AR210" s="438">
        <f t="shared" si="33"/>
        <v>-0.005680064209421465</v>
      </c>
      <c r="AS210" s="438">
        <f t="shared" si="33"/>
        <v>-0.0054641415709406616</v>
      </c>
      <c r="AT210" s="438">
        <f t="shared" si="33"/>
        <v>0.0036211525254417065</v>
      </c>
      <c r="AU210" s="438">
        <f t="shared" si="33"/>
        <v>-0.0031726283048211235</v>
      </c>
      <c r="AV210" s="438">
        <f t="shared" si="33"/>
        <v>0.005366949575636548</v>
      </c>
      <c r="AW210" s="438">
        <f t="shared" si="33"/>
        <v>0.01756672873991305</v>
      </c>
      <c r="AX210" s="438">
        <f t="shared" si="33"/>
        <v>0.0180564875251632</v>
      </c>
      <c r="AY210" s="438">
        <f t="shared" si="33"/>
        <v>0.011504583857630868</v>
      </c>
      <c r="AZ210" s="438">
        <f t="shared" si="33"/>
        <v>0.010307446241336393</v>
      </c>
      <c r="BA210" s="438">
        <f t="shared" si="33"/>
        <v>0.0032248607446496713</v>
      </c>
      <c r="BB210" s="438">
        <f t="shared" si="33"/>
        <v>-0.00420806545879604</v>
      </c>
      <c r="BC210" s="438">
        <f t="shared" si="33"/>
        <v>-0.0059866181476698754</v>
      </c>
      <c r="BD210" s="438">
        <f t="shared" si="33"/>
        <v>-0.0057274444969296345</v>
      </c>
      <c r="BE210" s="438">
        <f t="shared" si="33"/>
        <v>-0.0048102618920363716</v>
      </c>
      <c r="BF210" s="438">
        <f t="shared" si="33"/>
        <v>-0.003640052512232983</v>
      </c>
    </row>
    <row r="211" spans="1:58" ht="12.75">
      <c r="A211" s="435" t="s">
        <v>722</v>
      </c>
      <c r="B211" s="436"/>
      <c r="C211" s="437"/>
      <c r="D211" s="438">
        <f aca="true" t="shared" si="34" ref="D211:AI211">SUM(D$153:D$157)/SUM(C$153:C$157)-1</f>
        <v>0.026246915426605844</v>
      </c>
      <c r="E211" s="438">
        <f t="shared" si="34"/>
        <v>0.027324395220052367</v>
      </c>
      <c r="F211" s="438">
        <f t="shared" si="34"/>
        <v>0.028725441520675243</v>
      </c>
      <c r="G211" s="438">
        <f t="shared" si="34"/>
        <v>0.0269580805295091</v>
      </c>
      <c r="H211" s="438">
        <f t="shared" si="34"/>
        <v>0.030412890231621414</v>
      </c>
      <c r="I211" s="438">
        <f t="shared" si="34"/>
        <v>0.029841021631482834</v>
      </c>
      <c r="J211" s="438">
        <f t="shared" si="34"/>
        <v>0.026698722004302233</v>
      </c>
      <c r="K211" s="438">
        <f t="shared" si="34"/>
        <v>0.012570865171308787</v>
      </c>
      <c r="L211" s="438">
        <f t="shared" si="34"/>
        <v>0.003347127555988205</v>
      </c>
      <c r="M211" s="438">
        <f t="shared" si="34"/>
        <v>-0.007945654151755965</v>
      </c>
      <c r="N211" s="438">
        <f t="shared" si="34"/>
        <v>-0.010210320371728976</v>
      </c>
      <c r="O211" s="438">
        <f t="shared" si="34"/>
        <v>-0.009512632034097246</v>
      </c>
      <c r="P211" s="438">
        <f t="shared" si="34"/>
        <v>-0.0008107265357031324</v>
      </c>
      <c r="Q211" s="438">
        <f t="shared" si="34"/>
        <v>0.0043689926351266894</v>
      </c>
      <c r="R211" s="438">
        <f t="shared" si="34"/>
        <v>0.01242853591846882</v>
      </c>
      <c r="S211" s="438">
        <f t="shared" si="34"/>
        <v>0.007979376381045844</v>
      </c>
      <c r="T211" s="438">
        <f t="shared" si="34"/>
        <v>-0.0017659237608086409</v>
      </c>
      <c r="U211" s="438">
        <f t="shared" si="34"/>
        <v>-0.011285304703226973</v>
      </c>
      <c r="V211" s="438">
        <f t="shared" si="34"/>
        <v>-0.015856367226061208</v>
      </c>
      <c r="W211" s="438">
        <f t="shared" si="34"/>
        <v>-0.029653313271895132</v>
      </c>
      <c r="X211" s="438">
        <f t="shared" si="34"/>
        <v>-0.026812249644656894</v>
      </c>
      <c r="Y211" s="438">
        <f t="shared" si="34"/>
        <v>-0.02170882294363674</v>
      </c>
      <c r="Z211" s="438">
        <f t="shared" si="34"/>
        <v>-0.00800760043431048</v>
      </c>
      <c r="AA211" s="438">
        <f t="shared" si="34"/>
        <v>0.00013681762210970838</v>
      </c>
      <c r="AB211" s="438">
        <f t="shared" si="34"/>
        <v>0.01114911080711356</v>
      </c>
      <c r="AC211" s="438">
        <f t="shared" si="34"/>
        <v>0.014137861056619183</v>
      </c>
      <c r="AD211" s="438">
        <f t="shared" si="34"/>
        <v>0.02087780149413021</v>
      </c>
      <c r="AE211" s="438">
        <f t="shared" si="34"/>
        <v>0.012936948709572071</v>
      </c>
      <c r="AF211" s="438">
        <f t="shared" si="34"/>
        <v>0.011159130490872693</v>
      </c>
      <c r="AG211" s="438">
        <f t="shared" si="34"/>
        <v>0.006953304414391459</v>
      </c>
      <c r="AH211" s="438">
        <f t="shared" si="34"/>
        <v>-0.00114032309154255</v>
      </c>
      <c r="AI211" s="438">
        <f t="shared" si="34"/>
        <v>0.002219826219318932</v>
      </c>
      <c r="AJ211" s="438">
        <f aca="true" t="shared" si="35" ref="AJ211:BF211">SUM(AJ$153:AJ$157)/SUM(AI$153:AI$157)-1</f>
        <v>0.008290089862042826</v>
      </c>
      <c r="AK211" s="438">
        <f t="shared" si="35"/>
        <v>0.016318333019519127</v>
      </c>
      <c r="AL211" s="438">
        <f t="shared" si="35"/>
        <v>0.018773544124004227</v>
      </c>
      <c r="AM211" s="438">
        <f t="shared" si="35"/>
        <v>0.0170334000121235</v>
      </c>
      <c r="AN211" s="438">
        <f t="shared" si="35"/>
        <v>0.00923828823459294</v>
      </c>
      <c r="AO211" s="438">
        <f t="shared" si="35"/>
        <v>5.90562806355166E-05</v>
      </c>
      <c r="AP211" s="438">
        <f t="shared" si="35"/>
        <v>-0.0073815991496397615</v>
      </c>
      <c r="AQ211" s="438">
        <f t="shared" si="35"/>
        <v>-0.012552799095722489</v>
      </c>
      <c r="AR211" s="438">
        <f t="shared" si="35"/>
        <v>-0.009940956741776086</v>
      </c>
      <c r="AS211" s="438">
        <f t="shared" si="35"/>
        <v>-0.009919065295442064</v>
      </c>
      <c r="AT211" s="438">
        <f t="shared" si="35"/>
        <v>-0.00946527350952675</v>
      </c>
      <c r="AU211" s="438">
        <f t="shared" si="35"/>
        <v>-0.003598907917597427</v>
      </c>
      <c r="AV211" s="438">
        <f t="shared" si="35"/>
        <v>-0.0027400672561962436</v>
      </c>
      <c r="AW211" s="438">
        <f t="shared" si="35"/>
        <v>-0.005744973148495092</v>
      </c>
      <c r="AX211" s="438">
        <f t="shared" si="35"/>
        <v>-0.005401331491018735</v>
      </c>
      <c r="AY211" s="438">
        <f t="shared" si="35"/>
        <v>0.003725688305127539</v>
      </c>
      <c r="AZ211" s="438">
        <f t="shared" si="35"/>
        <v>-0.0033343818810946946</v>
      </c>
      <c r="BA211" s="438">
        <f t="shared" si="35"/>
        <v>0.005491730842065445</v>
      </c>
      <c r="BB211" s="438">
        <f t="shared" si="35"/>
        <v>0.017703559545483083</v>
      </c>
      <c r="BC211" s="438">
        <f t="shared" si="35"/>
        <v>0.01825920671149217</v>
      </c>
      <c r="BD211" s="438">
        <f t="shared" si="35"/>
        <v>0.011449688011146764</v>
      </c>
      <c r="BE211" s="438">
        <f t="shared" si="35"/>
        <v>0.01030186871106853</v>
      </c>
      <c r="BF211" s="438">
        <f t="shared" si="35"/>
        <v>0.003260611809343228</v>
      </c>
    </row>
    <row r="212" spans="1:58" ht="12.75">
      <c r="A212" s="435" t="s">
        <v>723</v>
      </c>
      <c r="B212" s="436"/>
      <c r="C212" s="437"/>
      <c r="D212" s="438">
        <f aca="true" t="shared" si="36" ref="D212:AI212">SUM(D$158:D$162)/SUM(C$158:C$162)-1</f>
        <v>0.00048808264866173623</v>
      </c>
      <c r="E212" s="438">
        <f t="shared" si="36"/>
        <v>0.004797137978697519</v>
      </c>
      <c r="F212" s="438">
        <f t="shared" si="36"/>
        <v>0.017397637158116153</v>
      </c>
      <c r="G212" s="438">
        <f t="shared" si="36"/>
        <v>0.016543386622126732</v>
      </c>
      <c r="H212" s="438">
        <f t="shared" si="36"/>
        <v>0.025428370237070563</v>
      </c>
      <c r="I212" s="438">
        <f t="shared" si="36"/>
        <v>0.026629024874103457</v>
      </c>
      <c r="J212" s="438">
        <f t="shared" si="36"/>
        <v>0.028316610925306573</v>
      </c>
      <c r="K212" s="438">
        <f t="shared" si="36"/>
        <v>0.029343740965597</v>
      </c>
      <c r="L212" s="438">
        <f t="shared" si="36"/>
        <v>0.02731357955343361</v>
      </c>
      <c r="M212" s="438">
        <f t="shared" si="36"/>
        <v>0.03068826464356511</v>
      </c>
      <c r="N212" s="438">
        <f t="shared" si="36"/>
        <v>0.030305039787798416</v>
      </c>
      <c r="O212" s="438">
        <f t="shared" si="36"/>
        <v>0.02703224560726003</v>
      </c>
      <c r="P212" s="438">
        <f t="shared" si="36"/>
        <v>0.012847026383405291</v>
      </c>
      <c r="Q212" s="438">
        <f t="shared" si="36"/>
        <v>0.0034649177082044513</v>
      </c>
      <c r="R212" s="438">
        <f t="shared" si="36"/>
        <v>-0.007707485509927281</v>
      </c>
      <c r="S212" s="438">
        <f t="shared" si="36"/>
        <v>-0.01000434971726838</v>
      </c>
      <c r="T212" s="438">
        <f t="shared" si="36"/>
        <v>-0.009289480291237773</v>
      </c>
      <c r="U212" s="438">
        <f t="shared" si="36"/>
        <v>-0.0005701976685250632</v>
      </c>
      <c r="V212" s="438">
        <f t="shared" si="36"/>
        <v>0.00450079239302692</v>
      </c>
      <c r="W212" s="438">
        <f t="shared" si="36"/>
        <v>0.012747696579578527</v>
      </c>
      <c r="X212" s="438">
        <f t="shared" si="36"/>
        <v>0.008225324027916203</v>
      </c>
      <c r="Y212" s="438">
        <f t="shared" si="36"/>
        <v>-0.001730531520395595</v>
      </c>
      <c r="Z212" s="438">
        <f t="shared" si="36"/>
        <v>-0.011144130757800852</v>
      </c>
      <c r="AA212" s="438">
        <f t="shared" si="36"/>
        <v>-0.015840220385674897</v>
      </c>
      <c r="AB212" s="438">
        <f t="shared" si="36"/>
        <v>-0.029582034480564956</v>
      </c>
      <c r="AC212" s="438">
        <f t="shared" si="36"/>
        <v>-0.02674708273239801</v>
      </c>
      <c r="AD212" s="438">
        <f t="shared" si="36"/>
        <v>-0.021487269298127387</v>
      </c>
      <c r="AE212" s="438">
        <f t="shared" si="36"/>
        <v>-0.007985131135127665</v>
      </c>
      <c r="AF212" s="438">
        <f t="shared" si="36"/>
        <v>0.0003469571854832765</v>
      </c>
      <c r="AG212" s="438">
        <f t="shared" si="36"/>
        <v>0.011306881243063227</v>
      </c>
      <c r="AH212" s="438">
        <f t="shared" si="36"/>
        <v>0.014267096508676858</v>
      </c>
      <c r="AI212" s="438">
        <f t="shared" si="36"/>
        <v>0.0210319875566376</v>
      </c>
      <c r="AJ212" s="438">
        <f aca="true" t="shared" si="37" ref="AJ212:BF212">SUM(AJ$158:AJ$162)/SUM(AI$158:AI$162)-1</f>
        <v>0.013180553715723908</v>
      </c>
      <c r="AK212" s="438">
        <f t="shared" si="37"/>
        <v>0.01111329018761853</v>
      </c>
      <c r="AL212" s="438">
        <f t="shared" si="37"/>
        <v>0.007176569470485505</v>
      </c>
      <c r="AM212" s="438">
        <f t="shared" si="37"/>
        <v>-0.0010912825779946234</v>
      </c>
      <c r="AN212" s="438">
        <f t="shared" si="37"/>
        <v>0.0023134759976866093</v>
      </c>
      <c r="AO212" s="438">
        <f t="shared" si="37"/>
        <v>0.008334936205680599</v>
      </c>
      <c r="AP212" s="438">
        <f t="shared" si="37"/>
        <v>0.016532078590958177</v>
      </c>
      <c r="AQ212" s="438">
        <f t="shared" si="37"/>
        <v>0.01889034840808157</v>
      </c>
      <c r="AR212" s="438">
        <f t="shared" si="37"/>
        <v>0.01712812327337465</v>
      </c>
      <c r="AS212" s="438">
        <f t="shared" si="37"/>
        <v>0.0092950265572187</v>
      </c>
      <c r="AT212" s="438">
        <f t="shared" si="37"/>
        <v>5.980145915551738E-05</v>
      </c>
      <c r="AU212" s="438">
        <f t="shared" si="37"/>
        <v>-0.007295341744902206</v>
      </c>
      <c r="AV212" s="438">
        <f t="shared" si="37"/>
        <v>-0.012589603035961683</v>
      </c>
      <c r="AW212" s="438">
        <f t="shared" si="37"/>
        <v>-0.009882869692532936</v>
      </c>
      <c r="AX212" s="438">
        <f t="shared" si="37"/>
        <v>-0.009981515711645073</v>
      </c>
      <c r="AY212" s="438">
        <f t="shared" si="37"/>
        <v>-0.00927308937017679</v>
      </c>
      <c r="AZ212" s="438">
        <f t="shared" si="37"/>
        <v>-0.0037690809724229</v>
      </c>
      <c r="BA212" s="438">
        <f t="shared" si="37"/>
        <v>-0.0026483384828803747</v>
      </c>
      <c r="BB212" s="438">
        <f t="shared" si="37"/>
        <v>-0.00562685717898459</v>
      </c>
      <c r="BC212" s="438">
        <f t="shared" si="37"/>
        <v>-0.005467955239064071</v>
      </c>
      <c r="BD212" s="438">
        <f t="shared" si="37"/>
        <v>0.0037718961769594994</v>
      </c>
      <c r="BE212" s="438">
        <f t="shared" si="37"/>
        <v>-0.003375581173173714</v>
      </c>
      <c r="BF212" s="438">
        <f t="shared" si="37"/>
        <v>0.005623721881390598</v>
      </c>
    </row>
    <row r="213" spans="1:58" ht="12.75">
      <c r="A213" s="435" t="s">
        <v>724</v>
      </c>
      <c r="B213" s="436"/>
      <c r="C213" s="437"/>
      <c r="D213" s="438">
        <f aca="true" t="shared" si="38" ref="D213:AI213">SUM(D$163:D$167)/SUM(C$163:C$167)-1</f>
        <v>0.05825857519788924</v>
      </c>
      <c r="E213" s="438">
        <f t="shared" si="38"/>
        <v>0.07140720055849203</v>
      </c>
      <c r="F213" s="438">
        <f t="shared" si="38"/>
        <v>0.045890347202829807</v>
      </c>
      <c r="G213" s="438">
        <f t="shared" si="38"/>
        <v>0.042096831612673524</v>
      </c>
      <c r="H213" s="438">
        <f t="shared" si="38"/>
        <v>0.029464514476044146</v>
      </c>
      <c r="I213" s="438">
        <f t="shared" si="38"/>
        <v>0.0010784801725567394</v>
      </c>
      <c r="J213" s="438">
        <f t="shared" si="38"/>
        <v>0.0055523328084858825</v>
      </c>
      <c r="K213" s="438">
        <f t="shared" si="38"/>
        <v>0.017883632767430324</v>
      </c>
      <c r="L213" s="438">
        <f t="shared" si="38"/>
        <v>0.017002671848433293</v>
      </c>
      <c r="M213" s="438">
        <f t="shared" si="38"/>
        <v>0.025634901679802535</v>
      </c>
      <c r="N213" s="438">
        <f t="shared" si="38"/>
        <v>0.02708996351781412</v>
      </c>
      <c r="O213" s="438">
        <f t="shared" si="38"/>
        <v>0.02841596130592494</v>
      </c>
      <c r="P213" s="438">
        <f t="shared" si="38"/>
        <v>0.02961493239271018</v>
      </c>
      <c r="Q213" s="438">
        <f t="shared" si="38"/>
        <v>0.02740703732781391</v>
      </c>
      <c r="R213" s="438">
        <f t="shared" si="38"/>
        <v>0.031052448766933027</v>
      </c>
      <c r="S213" s="438">
        <f t="shared" si="38"/>
        <v>0.030454116695863176</v>
      </c>
      <c r="T213" s="438">
        <f t="shared" si="38"/>
        <v>0.02726559435072584</v>
      </c>
      <c r="U213" s="438">
        <f t="shared" si="38"/>
        <v>0.013048182801858488</v>
      </c>
      <c r="V213" s="438">
        <f t="shared" si="38"/>
        <v>0.003706961548127774</v>
      </c>
      <c r="W213" s="438">
        <f t="shared" si="38"/>
        <v>-0.00744913928012525</v>
      </c>
      <c r="X213" s="438">
        <f t="shared" si="38"/>
        <v>-0.009586276488395606</v>
      </c>
      <c r="Y213" s="438">
        <f t="shared" si="38"/>
        <v>-0.009042282221090159</v>
      </c>
      <c r="Z213" s="438">
        <f t="shared" si="38"/>
        <v>-0.00025703637064644624</v>
      </c>
      <c r="AA213" s="438">
        <f t="shared" si="38"/>
        <v>0.0047563954235763095</v>
      </c>
      <c r="AB213" s="438">
        <f t="shared" si="38"/>
        <v>0.012922210849539484</v>
      </c>
      <c r="AC213" s="438">
        <f t="shared" si="38"/>
        <v>0.008336491095111809</v>
      </c>
      <c r="AD213" s="438">
        <f t="shared" si="38"/>
        <v>-0.0015658273831892222</v>
      </c>
      <c r="AE213" s="438">
        <f t="shared" si="38"/>
        <v>-0.010789787340819257</v>
      </c>
      <c r="AF213" s="438">
        <f t="shared" si="38"/>
        <v>-0.01560022829602381</v>
      </c>
      <c r="AG213" s="438">
        <f t="shared" si="38"/>
        <v>-0.029311344456612765</v>
      </c>
      <c r="AH213" s="438">
        <f t="shared" si="38"/>
        <v>-0.026479957525882614</v>
      </c>
      <c r="AI213" s="438">
        <f t="shared" si="38"/>
        <v>-0.021133001567932408</v>
      </c>
      <c r="AJ213" s="438">
        <f aca="true" t="shared" si="39" ref="AJ213:BF213">SUM(AJ$163:AJ$167)/SUM(AI$163:AI$167)-1</f>
        <v>-0.007799986071453491</v>
      </c>
      <c r="AK213" s="438">
        <f t="shared" si="39"/>
        <v>0.0005615217238716941</v>
      </c>
      <c r="AL213" s="438">
        <f t="shared" si="39"/>
        <v>0.011434584356366129</v>
      </c>
      <c r="AM213" s="438">
        <f t="shared" si="39"/>
        <v>0.014357053682896304</v>
      </c>
      <c r="AN213" s="438">
        <f t="shared" si="39"/>
        <v>0.020991452991452997</v>
      </c>
      <c r="AO213" s="438">
        <f t="shared" si="39"/>
        <v>0.013327082775247856</v>
      </c>
      <c r="AP213" s="438">
        <f t="shared" si="39"/>
        <v>0.011169122992531921</v>
      </c>
      <c r="AQ213" s="438">
        <f t="shared" si="39"/>
        <v>0.007124183006536056</v>
      </c>
      <c r="AR213" s="438">
        <f t="shared" si="39"/>
        <v>-0.0009734570705431933</v>
      </c>
      <c r="AS213" s="438">
        <f t="shared" si="39"/>
        <v>0.002403533844354877</v>
      </c>
      <c r="AT213" s="438">
        <f t="shared" si="39"/>
        <v>0.008424599831508006</v>
      </c>
      <c r="AU213" s="438">
        <f t="shared" si="39"/>
        <v>0.01651564809459538</v>
      </c>
      <c r="AV213" s="438">
        <f t="shared" si="39"/>
        <v>0.018965735238336112</v>
      </c>
      <c r="AW213" s="438">
        <f t="shared" si="39"/>
        <v>0.017061670182404676</v>
      </c>
      <c r="AX213" s="438">
        <f t="shared" si="39"/>
        <v>0.009333251997803993</v>
      </c>
      <c r="AY213" s="438">
        <f t="shared" si="39"/>
        <v>6.04375679922331E-05</v>
      </c>
      <c r="AZ213" s="438">
        <f t="shared" si="39"/>
        <v>-0.007191635946092956</v>
      </c>
      <c r="BA213" s="438">
        <f t="shared" si="39"/>
        <v>-0.01241782322863405</v>
      </c>
      <c r="BB213" s="438">
        <f t="shared" si="39"/>
        <v>-0.009985207100591698</v>
      </c>
      <c r="BC213" s="438">
        <f t="shared" si="39"/>
        <v>-0.009836882081932563</v>
      </c>
      <c r="BD213" s="438">
        <f t="shared" si="39"/>
        <v>-0.009305835010060326</v>
      </c>
      <c r="BE213" s="438">
        <f t="shared" si="39"/>
        <v>-0.003554201574003546</v>
      </c>
      <c r="BF213" s="438">
        <f t="shared" si="39"/>
        <v>-0.002611464968152899</v>
      </c>
    </row>
    <row r="214" spans="1:58" ht="12.75">
      <c r="A214" s="435" t="s">
        <v>725</v>
      </c>
      <c r="B214" s="436"/>
      <c r="C214" s="437"/>
      <c r="D214" s="438">
        <f aca="true" t="shared" si="40" ref="D214:AI214">SUM(D$168:D$193)/SUM(C$168:C$193)-1</f>
        <v>0.025505872364511184</v>
      </c>
      <c r="E214" s="438">
        <f t="shared" si="40"/>
        <v>0.01811031770671634</v>
      </c>
      <c r="F214" s="438">
        <f t="shared" si="40"/>
        <v>0.023243206613810408</v>
      </c>
      <c r="G214" s="438">
        <f t="shared" si="40"/>
        <v>0.025596026490066315</v>
      </c>
      <c r="H214" s="438">
        <f t="shared" si="40"/>
        <v>0.028153553094630857</v>
      </c>
      <c r="I214" s="438">
        <f t="shared" si="40"/>
        <v>0.0383419689119171</v>
      </c>
      <c r="J214" s="438">
        <f t="shared" si="40"/>
        <v>0.03562571826044869</v>
      </c>
      <c r="K214" s="438">
        <f t="shared" si="40"/>
        <v>0.03267725732975113</v>
      </c>
      <c r="L214" s="438">
        <f t="shared" si="40"/>
        <v>0.0332268189916014</v>
      </c>
      <c r="M214" s="438">
        <f t="shared" si="40"/>
        <v>0.03106355027642449</v>
      </c>
      <c r="N214" s="438">
        <f t="shared" si="40"/>
        <v>0.030499296578451407</v>
      </c>
      <c r="O214" s="438">
        <f t="shared" si="40"/>
        <v>0.029931482149296862</v>
      </c>
      <c r="P214" s="438">
        <f t="shared" si="40"/>
        <v>0.03108743497398958</v>
      </c>
      <c r="Q214" s="438">
        <f t="shared" si="40"/>
        <v>0.031047614427438308</v>
      </c>
      <c r="R214" s="438">
        <f t="shared" si="40"/>
        <v>0.031830051520925995</v>
      </c>
      <c r="S214" s="438">
        <f t="shared" si="40"/>
        <v>0.0314865481076152</v>
      </c>
      <c r="T214" s="438">
        <f t="shared" si="40"/>
        <v>0.031254835215843935</v>
      </c>
      <c r="U214" s="438">
        <f t="shared" si="40"/>
        <v>0.03234380023577321</v>
      </c>
      <c r="V214" s="438">
        <f t="shared" si="40"/>
        <v>0.03180798936965368</v>
      </c>
      <c r="W214" s="438">
        <f t="shared" si="40"/>
        <v>0.032960399227301984</v>
      </c>
      <c r="X214" s="438">
        <f t="shared" si="40"/>
        <v>0.03251256477188602</v>
      </c>
      <c r="Y214" s="438">
        <f t="shared" si="40"/>
        <v>0.031224647661453053</v>
      </c>
      <c r="Z214" s="438">
        <f t="shared" si="40"/>
        <v>0.028083720589849648</v>
      </c>
      <c r="AA214" s="438">
        <f t="shared" si="40"/>
        <v>0.0247183812930436</v>
      </c>
      <c r="AB214" s="438">
        <f t="shared" si="40"/>
        <v>0.022941196901809624</v>
      </c>
      <c r="AC214" s="438">
        <f t="shared" si="40"/>
        <v>0.022172045566439813</v>
      </c>
      <c r="AD214" s="438">
        <f t="shared" si="40"/>
        <v>0.021392150675148214</v>
      </c>
      <c r="AE214" s="438">
        <f t="shared" si="40"/>
        <v>0.02110672065303998</v>
      </c>
      <c r="AF214" s="438">
        <f t="shared" si="40"/>
        <v>0.0195397722748627</v>
      </c>
      <c r="AG214" s="438">
        <f t="shared" si="40"/>
        <v>0.019868170316453826</v>
      </c>
      <c r="AH214" s="438">
        <f t="shared" si="40"/>
        <v>0.018118050663154417</v>
      </c>
      <c r="AI214" s="438">
        <f t="shared" si="40"/>
        <v>0.015193224724340704</v>
      </c>
      <c r="AJ214" s="438">
        <f aca="true" t="shared" si="41" ref="AJ214:BF214">SUM(AJ$168:AJ$193)/SUM(AI$168:AI$193)-1</f>
        <v>0.012817283328641071</v>
      </c>
      <c r="AK214" s="438">
        <f t="shared" si="41"/>
        <v>0.010577598314606806</v>
      </c>
      <c r="AL214" s="438">
        <f t="shared" si="41"/>
        <v>0.00816503800217161</v>
      </c>
      <c r="AM214" s="438">
        <f t="shared" si="41"/>
        <v>0.007653757233734071</v>
      </c>
      <c r="AN214" s="438">
        <f t="shared" si="41"/>
        <v>0.006355811434760383</v>
      </c>
      <c r="AO214" s="438">
        <f t="shared" si="41"/>
        <v>0.007221954742417047</v>
      </c>
      <c r="AP214" s="438">
        <f t="shared" si="41"/>
        <v>0.006832752221347382</v>
      </c>
      <c r="AQ214" s="438">
        <f t="shared" si="41"/>
        <v>0.006786382550897807</v>
      </c>
      <c r="AR214" s="438">
        <f t="shared" si="41"/>
        <v>0.0069209431345353956</v>
      </c>
      <c r="AS214" s="438">
        <f t="shared" si="41"/>
        <v>0.007121310210884468</v>
      </c>
      <c r="AT214" s="438">
        <f t="shared" si="41"/>
        <v>0.006482849171180138</v>
      </c>
      <c r="AU214" s="438">
        <f t="shared" si="41"/>
        <v>0.005829596412556093</v>
      </c>
      <c r="AV214" s="438">
        <f t="shared" si="41"/>
        <v>0.005133816992934248</v>
      </c>
      <c r="AW214" s="438">
        <f t="shared" si="41"/>
        <v>0.0037366093630291086</v>
      </c>
      <c r="AX214" s="438">
        <f t="shared" si="41"/>
        <v>0.00482076141248311</v>
      </c>
      <c r="AY214" s="438">
        <f t="shared" si="41"/>
        <v>0.005477297866385955</v>
      </c>
      <c r="AZ214" s="438">
        <f t="shared" si="41"/>
        <v>0.006733114197858159</v>
      </c>
      <c r="BA214" s="438">
        <f t="shared" si="41"/>
        <v>0.0066485860234872796</v>
      </c>
      <c r="BB214" s="438">
        <f t="shared" si="41"/>
        <v>0.005166032356364703</v>
      </c>
      <c r="BC214" s="438">
        <f t="shared" si="41"/>
        <v>0.004723118559383677</v>
      </c>
      <c r="BD214" s="438">
        <f t="shared" si="41"/>
        <v>0.0036649011253706565</v>
      </c>
      <c r="BE214" s="438">
        <f t="shared" si="41"/>
        <v>0.0034837810637144973</v>
      </c>
      <c r="BF214" s="438">
        <f t="shared" si="41"/>
        <v>0.0024944710178469442</v>
      </c>
    </row>
    <row r="215" spans="1:58" ht="12.75">
      <c r="A215" s="435" t="s">
        <v>711</v>
      </c>
      <c r="B215" s="436"/>
      <c r="C215" s="437"/>
      <c r="D215" s="438">
        <f aca="true" t="shared" si="42" ref="D215:AI215">SUM(D$27:D$28)/SUM(C$27:C$28)-1</f>
        <v>0.032578595862518434</v>
      </c>
      <c r="E215" s="438">
        <f t="shared" si="42"/>
        <v>0.029026660356523015</v>
      </c>
      <c r="F215" s="438">
        <f t="shared" si="42"/>
        <v>0.03296029434309378</v>
      </c>
      <c r="G215" s="438">
        <f t="shared" si="42"/>
        <v>0.007865835559513146</v>
      </c>
      <c r="H215" s="438">
        <f t="shared" si="42"/>
        <v>-0.013400088352230943</v>
      </c>
      <c r="I215" s="438">
        <f t="shared" si="42"/>
        <v>-0.013880597014925389</v>
      </c>
      <c r="J215" s="438">
        <f t="shared" si="42"/>
        <v>-0.008929922809141844</v>
      </c>
      <c r="K215" s="438">
        <f t="shared" si="42"/>
        <v>-0.005192425167990233</v>
      </c>
      <c r="L215" s="438">
        <f t="shared" si="42"/>
        <v>-0.02348787227509974</v>
      </c>
      <c r="M215" s="438">
        <f t="shared" si="42"/>
        <v>-0.01462034271340984</v>
      </c>
      <c r="N215" s="438">
        <f t="shared" si="42"/>
        <v>-0.0019144862795149598</v>
      </c>
      <c r="O215" s="438">
        <f t="shared" si="42"/>
        <v>0.00831202046035795</v>
      </c>
      <c r="P215" s="438">
        <f t="shared" si="42"/>
        <v>0.006182625237793227</v>
      </c>
      <c r="Q215" s="438">
        <f t="shared" si="42"/>
        <v>-0.026784307546872554</v>
      </c>
      <c r="R215" s="438">
        <f t="shared" si="42"/>
        <v>-0.010522907560304384</v>
      </c>
      <c r="S215" s="438">
        <f t="shared" si="42"/>
        <v>0.022251308900523625</v>
      </c>
      <c r="T215" s="438">
        <f t="shared" si="42"/>
        <v>0.012644046094750339</v>
      </c>
      <c r="U215" s="438">
        <f t="shared" si="42"/>
        <v>0.012644223170539037</v>
      </c>
      <c r="V215" s="438">
        <f t="shared" si="42"/>
        <v>0.03652255345715627</v>
      </c>
      <c r="W215" s="438">
        <f t="shared" si="42"/>
        <v>0.0243939165788285</v>
      </c>
      <c r="X215" s="438">
        <f t="shared" si="42"/>
        <v>0</v>
      </c>
      <c r="Y215" s="438">
        <f t="shared" si="42"/>
        <v>-0.006614728796119351</v>
      </c>
      <c r="Z215" s="438">
        <f t="shared" si="42"/>
        <v>-0.00813850251553716</v>
      </c>
      <c r="AA215" s="438">
        <f t="shared" si="42"/>
        <v>-0.006862598836341882</v>
      </c>
      <c r="AB215" s="438">
        <f t="shared" si="42"/>
        <v>-0.00570827700165244</v>
      </c>
      <c r="AC215" s="438">
        <f t="shared" si="42"/>
        <v>-0.004532406707961956</v>
      </c>
      <c r="AD215" s="438">
        <f t="shared" si="42"/>
        <v>-0.0033388981636059967</v>
      </c>
      <c r="AE215" s="438">
        <f t="shared" si="42"/>
        <v>-0.0022841480127911984</v>
      </c>
      <c r="AF215" s="438">
        <f t="shared" si="42"/>
        <v>-0.0015262515262515208</v>
      </c>
      <c r="AG215" s="438">
        <f t="shared" si="42"/>
        <v>-0.0009171507184346783</v>
      </c>
      <c r="AH215" s="438">
        <f t="shared" si="42"/>
        <v>-0.00045899632802937074</v>
      </c>
      <c r="AI215" s="438">
        <f t="shared" si="42"/>
        <v>-0.00015306903413436768</v>
      </c>
      <c r="AJ215" s="438">
        <f aca="true" t="shared" si="43" ref="AJ215:BF215">SUM(AJ$27:AJ$28)/SUM(AI$27:AI$28)-1</f>
        <v>-0.0001530924678505574</v>
      </c>
      <c r="AK215" s="438">
        <f t="shared" si="43"/>
        <v>0</v>
      </c>
      <c r="AL215" s="438">
        <f t="shared" si="43"/>
        <v>0.0003062318174857914</v>
      </c>
      <c r="AM215" s="438">
        <f t="shared" si="43"/>
        <v>0.00030613806826873535</v>
      </c>
      <c r="AN215" s="438">
        <f t="shared" si="43"/>
        <v>0.00030604437643466653</v>
      </c>
      <c r="AO215" s="438">
        <f t="shared" si="43"/>
        <v>0.00015297537096525815</v>
      </c>
      <c r="AP215" s="438">
        <f t="shared" si="43"/>
        <v>0</v>
      </c>
      <c r="AQ215" s="438">
        <f t="shared" si="43"/>
        <v>-0.00030590394616092365</v>
      </c>
      <c r="AR215" s="438">
        <f t="shared" si="43"/>
        <v>-0.0009179926560587415</v>
      </c>
      <c r="AS215" s="438">
        <f t="shared" si="43"/>
        <v>-0.0013782542113323082</v>
      </c>
      <c r="AT215" s="438">
        <f t="shared" si="43"/>
        <v>-0.001380156417727374</v>
      </c>
      <c r="AU215" s="438">
        <f t="shared" si="43"/>
        <v>-0.0012285012285012664</v>
      </c>
      <c r="AV215" s="438">
        <f t="shared" si="43"/>
        <v>-0.0009225092250922939</v>
      </c>
      <c r="AW215" s="438">
        <f t="shared" si="43"/>
        <v>0</v>
      </c>
      <c r="AX215" s="438">
        <f t="shared" si="43"/>
        <v>0.0003077870113881165</v>
      </c>
      <c r="AY215" s="438">
        <f t="shared" si="43"/>
        <v>0.0010769230769229754</v>
      </c>
      <c r="AZ215" s="438">
        <f t="shared" si="43"/>
        <v>0.0016904871676655109</v>
      </c>
      <c r="BA215" s="438">
        <f t="shared" si="43"/>
        <v>0.002301319423135828</v>
      </c>
      <c r="BB215" s="438">
        <f t="shared" si="43"/>
        <v>0.002296035512015848</v>
      </c>
      <c r="BC215" s="438">
        <f t="shared" si="43"/>
        <v>0.002748930971288921</v>
      </c>
      <c r="BD215" s="438">
        <f t="shared" si="43"/>
        <v>0.0022844958879073562</v>
      </c>
      <c r="BE215" s="438">
        <f t="shared" si="43"/>
        <v>0.001823431089500005</v>
      </c>
      <c r="BF215" s="438">
        <f t="shared" si="43"/>
        <v>0.0012134081601697932</v>
      </c>
    </row>
    <row r="216" spans="1:58" ht="12.75">
      <c r="A216" s="435" t="s">
        <v>713</v>
      </c>
      <c r="B216" s="436"/>
      <c r="C216" s="437"/>
      <c r="D216" s="438">
        <f aca="true" t="shared" si="44" ref="D216:AI216">SUM(D$29:D$33)/SUM(C$29:C$33)-1</f>
        <v>0.007610558793280875</v>
      </c>
      <c r="E216" s="438">
        <f t="shared" si="44"/>
        <v>0.00836962438758837</v>
      </c>
      <c r="F216" s="438">
        <f t="shared" si="44"/>
        <v>0.016667791348943917</v>
      </c>
      <c r="G216" s="438">
        <f t="shared" si="44"/>
        <v>0.024890481879729087</v>
      </c>
      <c r="H216" s="438">
        <f t="shared" si="44"/>
        <v>0.03069749368564212</v>
      </c>
      <c r="I216" s="438">
        <f t="shared" si="44"/>
        <v>0.022494502042098574</v>
      </c>
      <c r="J216" s="438">
        <f t="shared" si="44"/>
        <v>0.013396423523628131</v>
      </c>
      <c r="K216" s="438">
        <f t="shared" si="44"/>
        <v>0.0038809047359165127</v>
      </c>
      <c r="L216" s="438">
        <f t="shared" si="44"/>
        <v>-0.001993355481727521</v>
      </c>
      <c r="M216" s="438">
        <f t="shared" si="44"/>
        <v>-0.011318242343541951</v>
      </c>
      <c r="N216" s="438">
        <f t="shared" si="44"/>
        <v>-0.014753596571778438</v>
      </c>
      <c r="O216" s="438">
        <f t="shared" si="44"/>
        <v>-0.011805641854107152</v>
      </c>
      <c r="P216" s="438">
        <f t="shared" si="44"/>
        <v>-0.010060362173038184</v>
      </c>
      <c r="Q216" s="438">
        <f t="shared" si="44"/>
        <v>-0.004827235772357774</v>
      </c>
      <c r="R216" s="438">
        <f t="shared" si="44"/>
        <v>-0.00574419198366094</v>
      </c>
      <c r="S216" s="438">
        <f t="shared" si="44"/>
        <v>-0.00590576453973557</v>
      </c>
      <c r="T216" s="438">
        <f t="shared" si="44"/>
        <v>-0.004003616169443336</v>
      </c>
      <c r="U216" s="438">
        <f t="shared" si="44"/>
        <v>0.0036307053941908585</v>
      </c>
      <c r="V216" s="438">
        <f t="shared" si="44"/>
        <v>-0.002260981912144744</v>
      </c>
      <c r="W216" s="438">
        <f t="shared" si="44"/>
        <v>0.00628034962771129</v>
      </c>
      <c r="X216" s="438">
        <f t="shared" si="44"/>
        <v>0.023484750997297743</v>
      </c>
      <c r="Y216" s="438">
        <f t="shared" si="44"/>
        <v>0.020556987489784406</v>
      </c>
      <c r="Z216" s="438">
        <f t="shared" si="44"/>
        <v>0.014044597757792321</v>
      </c>
      <c r="AA216" s="438">
        <f t="shared" si="44"/>
        <v>0.012270683999514143</v>
      </c>
      <c r="AB216" s="438">
        <f t="shared" si="44"/>
        <v>0.0055808929428708964</v>
      </c>
      <c r="AC216" s="438">
        <f t="shared" si="44"/>
        <v>-0.00453541803425439</v>
      </c>
      <c r="AD216" s="438">
        <f t="shared" si="44"/>
        <v>-0.006414483544152083</v>
      </c>
      <c r="AE216" s="438">
        <f t="shared" si="44"/>
        <v>-0.006335223844575855</v>
      </c>
      <c r="AF216" s="438">
        <f t="shared" si="44"/>
        <v>-0.005221932114882533</v>
      </c>
      <c r="AG216" s="438">
        <f t="shared" si="44"/>
        <v>-0.003967527314899577</v>
      </c>
      <c r="AH216" s="438">
        <f t="shared" si="44"/>
        <v>-0.002880254933202653</v>
      </c>
      <c r="AI216" s="438">
        <f t="shared" si="44"/>
        <v>-0.002089607276750005</v>
      </c>
      <c r="AJ216" s="438">
        <f aca="true" t="shared" si="45" ref="AJ216:BF216">SUM(AJ$29:AJ$33)/SUM(AI$29:AI$33)-1</f>
        <v>-0.0012933423662006005</v>
      </c>
      <c r="AK216" s="438">
        <f t="shared" si="45"/>
        <v>-0.0008016773556980272</v>
      </c>
      <c r="AL216" s="438">
        <f t="shared" si="45"/>
        <v>-0.0004320187619576421</v>
      </c>
      <c r="AM216" s="438">
        <f t="shared" si="45"/>
        <v>-0.0002469745616201502</v>
      </c>
      <c r="AN216" s="438">
        <f t="shared" si="45"/>
        <v>0</v>
      </c>
      <c r="AO216" s="438">
        <f t="shared" si="45"/>
        <v>0.000123517786561278</v>
      </c>
      <c r="AP216" s="438">
        <f t="shared" si="45"/>
        <v>0.00024700506360386676</v>
      </c>
      <c r="AQ216" s="438">
        <f t="shared" si="45"/>
        <v>0.00024694406716885275</v>
      </c>
      <c r="AR216" s="438">
        <f t="shared" si="45"/>
        <v>0.0002468831008517469</v>
      </c>
      <c r="AS216" s="438">
        <f t="shared" si="45"/>
        <v>6.17055411575862E-05</v>
      </c>
      <c r="AT216" s="438">
        <f t="shared" si="45"/>
        <v>-0.000308508669093599</v>
      </c>
      <c r="AU216" s="438">
        <f t="shared" si="45"/>
        <v>-0.0006172077521293673</v>
      </c>
      <c r="AV216" s="438">
        <f t="shared" si="45"/>
        <v>-0.0009881422924901129</v>
      </c>
      <c r="AW216" s="438">
        <f t="shared" si="45"/>
        <v>-0.001112759643916883</v>
      </c>
      <c r="AX216" s="438">
        <f t="shared" si="45"/>
        <v>-0.0012377769525931948</v>
      </c>
      <c r="AY216" s="438">
        <f t="shared" si="45"/>
        <v>-0.000805552113025132</v>
      </c>
      <c r="AZ216" s="438">
        <f t="shared" si="45"/>
        <v>-0.0004341085271317713</v>
      </c>
      <c r="BA216" s="438">
        <f t="shared" si="45"/>
        <v>0.0001240848740537981</v>
      </c>
      <c r="BB216" s="438">
        <f t="shared" si="45"/>
        <v>0.0008064516129031585</v>
      </c>
      <c r="BC216" s="438">
        <f t="shared" si="45"/>
        <v>0.0012396950350213043</v>
      </c>
      <c r="BD216" s="438">
        <f t="shared" si="45"/>
        <v>0.001919148145855365</v>
      </c>
      <c r="BE216" s="438">
        <f t="shared" si="45"/>
        <v>0.0021008403361344463</v>
      </c>
      <c r="BF216" s="438">
        <f t="shared" si="45"/>
        <v>0.002343075595017785</v>
      </c>
    </row>
    <row r="217" spans="1:58" ht="12.75">
      <c r="A217" s="435" t="s">
        <v>715</v>
      </c>
      <c r="B217" s="436"/>
      <c r="C217" s="437"/>
      <c r="D217" s="438">
        <f aca="true" t="shared" si="46" ref="D217:AI217">SUM(D$34:D$38)/SUM(C$34:C$38)-1</f>
        <v>0.02366303833412209</v>
      </c>
      <c r="E217" s="438">
        <f t="shared" si="46"/>
        <v>0.028663892741562558</v>
      </c>
      <c r="F217" s="438">
        <f t="shared" si="46"/>
        <v>0.0219475655430712</v>
      </c>
      <c r="G217" s="438">
        <f t="shared" si="46"/>
        <v>0.014806127684526826</v>
      </c>
      <c r="H217" s="438">
        <f t="shared" si="46"/>
        <v>0.010111953773925597</v>
      </c>
      <c r="I217" s="438">
        <f t="shared" si="46"/>
        <v>0.008008580622095085</v>
      </c>
      <c r="J217" s="438">
        <f t="shared" si="46"/>
        <v>0.010853373058097526</v>
      </c>
      <c r="K217" s="438">
        <f t="shared" si="46"/>
        <v>0.01796491228070174</v>
      </c>
      <c r="L217" s="438">
        <f t="shared" si="46"/>
        <v>0.025782434854543013</v>
      </c>
      <c r="M217" s="438">
        <f t="shared" si="46"/>
        <v>0.03185483870967731</v>
      </c>
      <c r="N217" s="438">
        <f t="shared" si="46"/>
        <v>0.023186140419434675</v>
      </c>
      <c r="O217" s="438">
        <f t="shared" si="46"/>
        <v>0.014067472947167481</v>
      </c>
      <c r="P217" s="438">
        <f t="shared" si="46"/>
        <v>0.004017324712824122</v>
      </c>
      <c r="Q217" s="438">
        <f t="shared" si="46"/>
        <v>-0.002188183807439792</v>
      </c>
      <c r="R217" s="438">
        <f t="shared" si="46"/>
        <v>-0.011466165413533846</v>
      </c>
      <c r="S217" s="438">
        <f t="shared" si="46"/>
        <v>-0.015148634087595814</v>
      </c>
      <c r="T217" s="438">
        <f t="shared" si="46"/>
        <v>-0.012035010940919078</v>
      </c>
      <c r="U217" s="438">
        <f t="shared" si="46"/>
        <v>-0.010357631424662839</v>
      </c>
      <c r="V217" s="438">
        <f t="shared" si="46"/>
        <v>-0.00487098472880465</v>
      </c>
      <c r="W217" s="438">
        <f t="shared" si="46"/>
        <v>-0.005887022092869398</v>
      </c>
      <c r="X217" s="438">
        <f t="shared" si="46"/>
        <v>-0.006054960409874188</v>
      </c>
      <c r="Y217" s="438">
        <f t="shared" si="46"/>
        <v>-0.0041504886865711965</v>
      </c>
      <c r="Z217" s="438">
        <f t="shared" si="46"/>
        <v>0.0038316751815004046</v>
      </c>
      <c r="AA217" s="438">
        <f t="shared" si="46"/>
        <v>-0.0023438023170160305</v>
      </c>
      <c r="AB217" s="438">
        <f t="shared" si="46"/>
        <v>0.006645187273459419</v>
      </c>
      <c r="AC217" s="438">
        <f t="shared" si="46"/>
        <v>0.024271520970860827</v>
      </c>
      <c r="AD217" s="438">
        <f t="shared" si="46"/>
        <v>0.021157476726775704</v>
      </c>
      <c r="AE217" s="438">
        <f t="shared" si="46"/>
        <v>0.014599005482595961</v>
      </c>
      <c r="AF217" s="438">
        <f t="shared" si="46"/>
        <v>0.012692428526547284</v>
      </c>
      <c r="AG217" s="438">
        <f t="shared" si="46"/>
        <v>0.0057703046472668</v>
      </c>
      <c r="AH217" s="438">
        <f t="shared" si="46"/>
        <v>-0.004688463911165952</v>
      </c>
      <c r="AI217" s="438">
        <f t="shared" si="46"/>
        <v>-0.006569976447254211</v>
      </c>
      <c r="AJ217" s="438">
        <f aca="true" t="shared" si="47" ref="AJ217:BF217">SUM(AJ$34:AJ$38)/SUM(AI$34:AI$38)-1</f>
        <v>-0.006488644871474936</v>
      </c>
      <c r="AK217" s="438">
        <f t="shared" si="47"/>
        <v>-0.005212258226576227</v>
      </c>
      <c r="AL217" s="438">
        <f t="shared" si="47"/>
        <v>-0.0041032763083138635</v>
      </c>
      <c r="AM217" s="438">
        <f t="shared" si="47"/>
        <v>-0.0030425963488843744</v>
      </c>
      <c r="AN217" s="438">
        <f t="shared" si="47"/>
        <v>-0.0020981688708036073</v>
      </c>
      <c r="AO217" s="438">
        <f t="shared" si="47"/>
        <v>-0.0012742911755335706</v>
      </c>
      <c r="AP217" s="438">
        <f t="shared" si="47"/>
        <v>-0.0008931419457735013</v>
      </c>
      <c r="AQ217" s="438">
        <f t="shared" si="47"/>
        <v>-0.0005108230636613476</v>
      </c>
      <c r="AR217" s="438">
        <f t="shared" si="47"/>
        <v>-6.388551715330593E-05</v>
      </c>
      <c r="AS217" s="438">
        <f t="shared" si="47"/>
        <v>6.388959877323686E-05</v>
      </c>
      <c r="AT217" s="438">
        <f t="shared" si="47"/>
        <v>6.388551715330593E-05</v>
      </c>
      <c r="AU217" s="438">
        <f t="shared" si="47"/>
        <v>0.00019164430816398514</v>
      </c>
      <c r="AV217" s="438">
        <f t="shared" si="47"/>
        <v>0.00038321517532091676</v>
      </c>
      <c r="AW217" s="438">
        <f t="shared" si="47"/>
        <v>0.00031922364808778525</v>
      </c>
      <c r="AX217" s="438">
        <f t="shared" si="47"/>
        <v>-6.382435537399811E-05</v>
      </c>
      <c r="AY217" s="438">
        <f t="shared" si="47"/>
        <v>-0.0002553137167293773</v>
      </c>
      <c r="AZ217" s="438">
        <f t="shared" si="47"/>
        <v>-0.0006384472961756815</v>
      </c>
      <c r="BA217" s="438">
        <f t="shared" si="47"/>
        <v>-0.0010221682744522287</v>
      </c>
      <c r="BB217" s="438">
        <f t="shared" si="47"/>
        <v>-0.0012150668286755595</v>
      </c>
      <c r="BC217" s="438">
        <f t="shared" si="47"/>
        <v>-0.0010884876424638312</v>
      </c>
      <c r="BD217" s="438">
        <f t="shared" si="47"/>
        <v>-0.0009614768284084141</v>
      </c>
      <c r="BE217" s="438">
        <f t="shared" si="47"/>
        <v>-0.0003849608623123224</v>
      </c>
      <c r="BF217" s="438">
        <f t="shared" si="47"/>
        <v>6.418485237480454E-05</v>
      </c>
    </row>
    <row r="218" spans="1:58" ht="12.75">
      <c r="A218" s="435" t="s">
        <v>718</v>
      </c>
      <c r="B218" s="436"/>
      <c r="C218" s="437"/>
      <c r="D218" s="438">
        <f aca="true" t="shared" si="48" ref="D218:AI218">SUM(D$39:D$43)/SUM(C$39:C$43)-1</f>
        <v>-0.027215375586854496</v>
      </c>
      <c r="E218" s="438">
        <f t="shared" si="48"/>
        <v>-0.02186863735766531</v>
      </c>
      <c r="F218" s="438">
        <f t="shared" si="48"/>
        <v>-0.0074782206460566325</v>
      </c>
      <c r="G218" s="438">
        <f t="shared" si="48"/>
        <v>0.005048935839676805</v>
      </c>
      <c r="H218" s="438">
        <f t="shared" si="48"/>
        <v>0.016461859494551367</v>
      </c>
      <c r="I218" s="438">
        <f t="shared" si="48"/>
        <v>0.022582116788321116</v>
      </c>
      <c r="J218" s="438">
        <f t="shared" si="48"/>
        <v>0.02929585842813598</v>
      </c>
      <c r="K218" s="438">
        <f t="shared" si="48"/>
        <v>0.02174384165282084</v>
      </c>
      <c r="L218" s="438">
        <f t="shared" si="48"/>
        <v>0.014352375565610753</v>
      </c>
      <c r="M218" s="438">
        <f t="shared" si="48"/>
        <v>0.00975813758973998</v>
      </c>
      <c r="N218" s="438">
        <f t="shared" si="48"/>
        <v>0.007869124042244824</v>
      </c>
      <c r="O218" s="438">
        <f t="shared" si="48"/>
        <v>0.0104102458735702</v>
      </c>
      <c r="P218" s="438">
        <f t="shared" si="48"/>
        <v>0.017284620077272494</v>
      </c>
      <c r="Q218" s="438">
        <f t="shared" si="48"/>
        <v>0.024986673773987222</v>
      </c>
      <c r="R218" s="438">
        <f t="shared" si="48"/>
        <v>0.030618214912565778</v>
      </c>
      <c r="S218" s="438">
        <f t="shared" si="48"/>
        <v>0.022581052100416388</v>
      </c>
      <c r="T218" s="438">
        <f t="shared" si="48"/>
        <v>0.013570194917345235</v>
      </c>
      <c r="U218" s="438">
        <f t="shared" si="48"/>
        <v>0.004016553067186068</v>
      </c>
      <c r="V218" s="438">
        <f t="shared" si="48"/>
        <v>-0.0020002424536307295</v>
      </c>
      <c r="W218" s="438">
        <f t="shared" si="48"/>
        <v>-0.0111752201639842</v>
      </c>
      <c r="X218" s="438">
        <f t="shared" si="48"/>
        <v>-0.014556845402616592</v>
      </c>
      <c r="Y218" s="438">
        <f t="shared" si="48"/>
        <v>-0.01153079032660187</v>
      </c>
      <c r="Z218" s="438">
        <f t="shared" si="48"/>
        <v>-0.010025852828047133</v>
      </c>
      <c r="AA218" s="438">
        <f t="shared" si="48"/>
        <v>-0.004649681528662408</v>
      </c>
      <c r="AB218" s="438">
        <f t="shared" si="48"/>
        <v>-0.005567287387214459</v>
      </c>
      <c r="AC218" s="438">
        <f t="shared" si="48"/>
        <v>-0.00579150579150578</v>
      </c>
      <c r="AD218" s="438">
        <f t="shared" si="48"/>
        <v>-0.00394822006472495</v>
      </c>
      <c r="AE218" s="438">
        <f t="shared" si="48"/>
        <v>0.0037039443758528634</v>
      </c>
      <c r="AF218" s="438">
        <f t="shared" si="48"/>
        <v>-0.0022012171435970007</v>
      </c>
      <c r="AG218" s="438">
        <f t="shared" si="48"/>
        <v>0.006358681546846601</v>
      </c>
      <c r="AH218" s="438">
        <f t="shared" si="48"/>
        <v>0.02346872985170867</v>
      </c>
      <c r="AI218" s="438">
        <f t="shared" si="48"/>
        <v>0.02047373062870106</v>
      </c>
      <c r="AJ218" s="438">
        <f aca="true" t="shared" si="49" ref="AJ218:BF218">SUM(AJ$39:AJ$43)/SUM(AI$39:AI$43)-1</f>
        <v>0.014136675103401553</v>
      </c>
      <c r="AK218" s="438">
        <f t="shared" si="49"/>
        <v>0.01223520818115409</v>
      </c>
      <c r="AL218" s="438">
        <f t="shared" si="49"/>
        <v>0.00571291117926509</v>
      </c>
      <c r="AM218" s="438">
        <f t="shared" si="49"/>
        <v>-0.004484573068643916</v>
      </c>
      <c r="AN218" s="438">
        <f t="shared" si="49"/>
        <v>-0.0064268124211663835</v>
      </c>
      <c r="AO218" s="438">
        <f t="shared" si="49"/>
        <v>-0.0061056704147020024</v>
      </c>
      <c r="AP218" s="438">
        <f t="shared" si="49"/>
        <v>-0.005170001824706505</v>
      </c>
      <c r="AQ218" s="438">
        <f t="shared" si="49"/>
        <v>-0.0038517975055025744</v>
      </c>
      <c r="AR218" s="438">
        <f t="shared" si="49"/>
        <v>-0.0030074265021788893</v>
      </c>
      <c r="AS218" s="438">
        <f t="shared" si="49"/>
        <v>-0.001908396946564861</v>
      </c>
      <c r="AT218" s="438">
        <f t="shared" si="49"/>
        <v>-0.0012952568926170027</v>
      </c>
      <c r="AU218" s="438">
        <f t="shared" si="49"/>
        <v>-0.0008028656126481959</v>
      </c>
      <c r="AV218" s="438">
        <f t="shared" si="49"/>
        <v>-0.00043265962049565676</v>
      </c>
      <c r="AW218" s="438">
        <f t="shared" si="49"/>
        <v>-6.183527083847284E-05</v>
      </c>
      <c r="AX218" s="438">
        <f t="shared" si="49"/>
        <v>0</v>
      </c>
      <c r="AY218" s="438">
        <f t="shared" si="49"/>
        <v>6.183909467560866E-05</v>
      </c>
      <c r="AZ218" s="438">
        <f t="shared" si="49"/>
        <v>0.00030917635419247524</v>
      </c>
      <c r="BA218" s="438">
        <f t="shared" si="49"/>
        <v>0.00030908079371938513</v>
      </c>
      <c r="BB218" s="438">
        <f t="shared" si="49"/>
        <v>0.00018539117537996752</v>
      </c>
      <c r="BC218" s="438">
        <f t="shared" si="49"/>
        <v>6.178560395420085E-05</v>
      </c>
      <c r="BD218" s="438">
        <f t="shared" si="49"/>
        <v>-0.00024712714691710325</v>
      </c>
      <c r="BE218" s="438">
        <f t="shared" si="49"/>
        <v>-0.0006179705846002248</v>
      </c>
      <c r="BF218" s="438">
        <f t="shared" si="49"/>
        <v>-0.0009275290625773147</v>
      </c>
    </row>
    <row r="219" spans="1:58" ht="12.75">
      <c r="A219" s="435" t="s">
        <v>719</v>
      </c>
      <c r="B219" s="436"/>
      <c r="C219" s="437"/>
      <c r="D219" s="438">
        <f aca="true" t="shared" si="50" ref="D219:AI219">SUM(D$44:D$48)/SUM(C$44:C$48)-1</f>
        <v>0.005095883062893991</v>
      </c>
      <c r="E219" s="438">
        <f t="shared" si="50"/>
        <v>-0.005403602401601093</v>
      </c>
      <c r="F219" s="438">
        <f t="shared" si="50"/>
        <v>-0.014689113958011979</v>
      </c>
      <c r="G219" s="438">
        <f t="shared" si="50"/>
        <v>-0.018243703199455452</v>
      </c>
      <c r="H219" s="438">
        <f t="shared" si="50"/>
        <v>-0.02745805020108172</v>
      </c>
      <c r="I219" s="438">
        <f t="shared" si="50"/>
        <v>-0.026236988450021426</v>
      </c>
      <c r="J219" s="438">
        <f t="shared" si="50"/>
        <v>-0.019988285254063598</v>
      </c>
      <c r="K219" s="438">
        <f t="shared" si="50"/>
        <v>-0.0067986552110571585</v>
      </c>
      <c r="L219" s="438">
        <f t="shared" si="50"/>
        <v>0.004889423800210624</v>
      </c>
      <c r="M219" s="438">
        <f t="shared" si="50"/>
        <v>0.016168874915787113</v>
      </c>
      <c r="N219" s="438">
        <f t="shared" si="50"/>
        <v>0.02180478821362808</v>
      </c>
      <c r="O219" s="438">
        <f t="shared" si="50"/>
        <v>0.028404585105616054</v>
      </c>
      <c r="P219" s="438">
        <f t="shared" si="50"/>
        <v>0.021100595864002702</v>
      </c>
      <c r="Q219" s="438">
        <f t="shared" si="50"/>
        <v>0.013936564602498924</v>
      </c>
      <c r="R219" s="438">
        <f t="shared" si="50"/>
        <v>0.009479314780960202</v>
      </c>
      <c r="S219" s="438">
        <f t="shared" si="50"/>
        <v>0.007646388087732214</v>
      </c>
      <c r="T219" s="438">
        <f t="shared" si="50"/>
        <v>0.010117819343673062</v>
      </c>
      <c r="U219" s="438">
        <f t="shared" si="50"/>
        <v>0.016869851729818697</v>
      </c>
      <c r="V219" s="438">
        <f t="shared" si="50"/>
        <v>0.024172121055019202</v>
      </c>
      <c r="W219" s="438">
        <f t="shared" si="50"/>
        <v>0.02980258162490501</v>
      </c>
      <c r="X219" s="438">
        <f t="shared" si="50"/>
        <v>0.021996927803379362</v>
      </c>
      <c r="Y219" s="438">
        <f t="shared" si="50"/>
        <v>0.013286839415619589</v>
      </c>
      <c r="Z219" s="438">
        <f t="shared" si="50"/>
        <v>0.0037379850480598886</v>
      </c>
      <c r="AA219" s="438">
        <f t="shared" si="50"/>
        <v>-0.001773364071643857</v>
      </c>
      <c r="AB219" s="438">
        <f t="shared" si="50"/>
        <v>-0.010777521170130866</v>
      </c>
      <c r="AC219" s="438">
        <f t="shared" si="50"/>
        <v>-0.01406764441783892</v>
      </c>
      <c r="AD219" s="438">
        <f t="shared" si="50"/>
        <v>-0.011171827565270243</v>
      </c>
      <c r="AE219" s="438">
        <f t="shared" si="50"/>
        <v>-0.009701584182733591</v>
      </c>
      <c r="AF219" s="438">
        <f t="shared" si="50"/>
        <v>-0.004402281746031744</v>
      </c>
      <c r="AG219" s="438">
        <f t="shared" si="50"/>
        <v>-0.005542753939091982</v>
      </c>
      <c r="AH219" s="438">
        <f t="shared" si="50"/>
        <v>-0.005448396793587218</v>
      </c>
      <c r="AI219" s="438">
        <f t="shared" si="50"/>
        <v>-0.003841067942824794</v>
      </c>
      <c r="AJ219" s="438">
        <f aca="true" t="shared" si="51" ref="AJ219:BF219">SUM(AJ$44:AJ$48)/SUM(AI$44:AI$48)-1</f>
        <v>0.0036030341340076433</v>
      </c>
      <c r="AK219" s="438">
        <f t="shared" si="51"/>
        <v>-0.002078478301946185</v>
      </c>
      <c r="AL219" s="438">
        <f t="shared" si="51"/>
        <v>0.006185306740722041</v>
      </c>
      <c r="AM219" s="438">
        <f t="shared" si="51"/>
        <v>0.022770041400075325</v>
      </c>
      <c r="AN219" s="438">
        <f t="shared" si="51"/>
        <v>0.01987120515179397</v>
      </c>
      <c r="AO219" s="438">
        <f t="shared" si="51"/>
        <v>0.013771122737386454</v>
      </c>
      <c r="AP219" s="438">
        <f t="shared" si="51"/>
        <v>0.011982441570767666</v>
      </c>
      <c r="AQ219" s="438">
        <f t="shared" si="51"/>
        <v>0.005451348182883953</v>
      </c>
      <c r="AR219" s="438">
        <f t="shared" si="51"/>
        <v>-0.004314114149128412</v>
      </c>
      <c r="AS219" s="438">
        <f t="shared" si="51"/>
        <v>-0.006089349493530016</v>
      </c>
      <c r="AT219" s="438">
        <f t="shared" si="51"/>
        <v>-0.006185567010309256</v>
      </c>
      <c r="AU219" s="438">
        <f t="shared" si="51"/>
        <v>-0.004801422643746278</v>
      </c>
      <c r="AV219" s="438">
        <f t="shared" si="51"/>
        <v>-0.003812019774852571</v>
      </c>
      <c r="AW219" s="438">
        <f t="shared" si="51"/>
        <v>-0.0028101644245142055</v>
      </c>
      <c r="AX219" s="438">
        <f t="shared" si="51"/>
        <v>-0.0019186952872046747</v>
      </c>
      <c r="AY219" s="438">
        <f t="shared" si="51"/>
        <v>-0.0012014898474107527</v>
      </c>
      <c r="AZ219" s="438">
        <f t="shared" si="51"/>
        <v>-0.0007819078551666303</v>
      </c>
      <c r="BA219" s="438">
        <f t="shared" si="51"/>
        <v>-0.00036116294468191423</v>
      </c>
      <c r="BB219" s="438">
        <f t="shared" si="51"/>
        <v>-0.00012043114349369333</v>
      </c>
      <c r="BC219" s="438">
        <f t="shared" si="51"/>
        <v>6.022282445039551E-05</v>
      </c>
      <c r="BD219" s="438">
        <f t="shared" si="51"/>
        <v>0.00012043839576048043</v>
      </c>
      <c r="BE219" s="438">
        <f t="shared" si="51"/>
        <v>0.0002408477842004153</v>
      </c>
      <c r="BF219" s="438">
        <f t="shared" si="51"/>
        <v>0.00024078979051278537</v>
      </c>
    </row>
    <row r="220" spans="1:58" ht="12.75">
      <c r="A220" s="435" t="s">
        <v>726</v>
      </c>
      <c r="B220" s="436"/>
      <c r="C220" s="437"/>
      <c r="D220" s="438">
        <f aca="true" t="shared" si="52" ref="D220:AI220">SUM(D$49:D$53)/SUM(C$49:C$53)-1</f>
        <v>-0.014684193651811506</v>
      </c>
      <c r="E220" s="438">
        <f t="shared" si="52"/>
        <v>-0.012820512820512775</v>
      </c>
      <c r="F220" s="438">
        <f t="shared" si="52"/>
        <v>-0.007581251236073561</v>
      </c>
      <c r="G220" s="438">
        <f t="shared" si="52"/>
        <v>-0.0009964129135113797</v>
      </c>
      <c r="H220" s="438">
        <f t="shared" si="52"/>
        <v>0.005452490192167092</v>
      </c>
      <c r="I220" s="438">
        <f t="shared" si="52"/>
        <v>0.005158388995436747</v>
      </c>
      <c r="J220" s="438">
        <f t="shared" si="52"/>
        <v>-0.004473978551220448</v>
      </c>
      <c r="K220" s="438">
        <f t="shared" si="52"/>
        <v>-0.01407706033969991</v>
      </c>
      <c r="L220" s="438">
        <f t="shared" si="52"/>
        <v>-0.017696742190642212</v>
      </c>
      <c r="M220" s="438">
        <f t="shared" si="52"/>
        <v>-0.02681861607752145</v>
      </c>
      <c r="N220" s="438">
        <f t="shared" si="52"/>
        <v>-0.02559427810111492</v>
      </c>
      <c r="O220" s="438">
        <f t="shared" si="52"/>
        <v>-0.01928612550374209</v>
      </c>
      <c r="P220" s="438">
        <f t="shared" si="52"/>
        <v>-0.006604050484297019</v>
      </c>
      <c r="Q220" s="438">
        <f t="shared" si="52"/>
        <v>0.004949032353375626</v>
      </c>
      <c r="R220" s="438">
        <f t="shared" si="52"/>
        <v>0.015950018375597175</v>
      </c>
      <c r="S220" s="438">
        <f t="shared" si="52"/>
        <v>0.02134278686152502</v>
      </c>
      <c r="T220" s="438">
        <f t="shared" si="52"/>
        <v>0.02776793936388744</v>
      </c>
      <c r="U220" s="438">
        <f t="shared" si="52"/>
        <v>0.020745744020952417</v>
      </c>
      <c r="V220" s="438">
        <f t="shared" si="52"/>
        <v>0.013639432815665042</v>
      </c>
      <c r="W220" s="438">
        <f t="shared" si="52"/>
        <v>0.009325872635225219</v>
      </c>
      <c r="X220" s="438">
        <f t="shared" si="52"/>
        <v>0.007655755015839594</v>
      </c>
      <c r="Y220" s="438">
        <f t="shared" si="52"/>
        <v>0.010020958868221186</v>
      </c>
      <c r="Z220" s="438">
        <f t="shared" si="52"/>
        <v>0.01653589261396804</v>
      </c>
      <c r="AA220" s="438">
        <f t="shared" si="52"/>
        <v>0.023858127073232982</v>
      </c>
      <c r="AB220" s="438">
        <f t="shared" si="52"/>
        <v>0.029158878504672803</v>
      </c>
      <c r="AC220" s="438">
        <f t="shared" si="52"/>
        <v>0.021612786051580013</v>
      </c>
      <c r="AD220" s="438">
        <f t="shared" si="52"/>
        <v>0.013096296296296384</v>
      </c>
      <c r="AE220" s="438">
        <f t="shared" si="52"/>
        <v>0.003860552175947607</v>
      </c>
      <c r="AF220" s="438">
        <f t="shared" si="52"/>
        <v>-0.0018645845472555767</v>
      </c>
      <c r="AG220" s="438">
        <f t="shared" si="52"/>
        <v>-0.010449503794512593</v>
      </c>
      <c r="AH220" s="438">
        <f t="shared" si="52"/>
        <v>-0.013863488879712116</v>
      </c>
      <c r="AI220" s="438">
        <f t="shared" si="52"/>
        <v>-0.01076812634601576</v>
      </c>
      <c r="AJ220" s="438">
        <f aca="true" t="shared" si="53" ref="AJ220:BF220">SUM(AJ$49:AJ$53)/SUM(AI$49:AI$53)-1</f>
        <v>-0.009494436381228821</v>
      </c>
      <c r="AK220" s="438">
        <f t="shared" si="53"/>
        <v>-0.004395872763904962</v>
      </c>
      <c r="AL220" s="438">
        <f t="shared" si="53"/>
        <v>-0.0052124854357024075</v>
      </c>
      <c r="AM220" s="438">
        <f t="shared" si="53"/>
        <v>-0.005424731845641739</v>
      </c>
      <c r="AN220" s="438">
        <f t="shared" si="53"/>
        <v>-0.0036568736829056814</v>
      </c>
      <c r="AO220" s="438">
        <f t="shared" si="53"/>
        <v>0.00354587869362355</v>
      </c>
      <c r="AP220" s="438">
        <f t="shared" si="53"/>
        <v>-0.002045623605256619</v>
      </c>
      <c r="AQ220" s="438">
        <f t="shared" si="53"/>
        <v>0.006087334617056905</v>
      </c>
      <c r="AR220" s="438">
        <f t="shared" si="53"/>
        <v>0.022411557695869666</v>
      </c>
      <c r="AS220" s="438">
        <f t="shared" si="53"/>
        <v>0.019565217391304346</v>
      </c>
      <c r="AT220" s="438">
        <f t="shared" si="53"/>
        <v>0.013385453683961046</v>
      </c>
      <c r="AU220" s="438">
        <f t="shared" si="53"/>
        <v>0.011864406779660941</v>
      </c>
      <c r="AV220" s="438">
        <f t="shared" si="53"/>
        <v>0.005313925951597076</v>
      </c>
      <c r="AW220" s="438">
        <f t="shared" si="53"/>
        <v>-0.0041367423154266</v>
      </c>
      <c r="AX220" s="438">
        <f t="shared" si="53"/>
        <v>-0.006057808804015408</v>
      </c>
      <c r="AY220" s="438">
        <f t="shared" si="53"/>
        <v>-0.005920594381239819</v>
      </c>
      <c r="AZ220" s="438">
        <f t="shared" si="53"/>
        <v>-0.004788041574214641</v>
      </c>
      <c r="BA220" s="438">
        <f t="shared" si="53"/>
        <v>-0.003754987092231876</v>
      </c>
      <c r="BB220" s="438">
        <f t="shared" si="53"/>
        <v>-0.0027090694935217874</v>
      </c>
      <c r="BC220" s="438">
        <f t="shared" si="53"/>
        <v>-0.0018896893823078242</v>
      </c>
      <c r="BD220" s="438">
        <f t="shared" si="53"/>
        <v>-0.0011832919181161694</v>
      </c>
      <c r="BE220" s="438">
        <f t="shared" si="53"/>
        <v>-0.0007700509418315793</v>
      </c>
      <c r="BF220" s="438">
        <f t="shared" si="53"/>
        <v>-0.0002964016835615979</v>
      </c>
    </row>
    <row r="221" spans="1:58" ht="12.75">
      <c r="A221" s="435" t="s">
        <v>727</v>
      </c>
      <c r="B221" s="436"/>
      <c r="C221" s="437"/>
      <c r="D221" s="438">
        <f aca="true" t="shared" si="54" ref="D221:AI221">SUM(D$54:D$58)/SUM(C$54:C$58)-1</f>
        <v>0.02293454935622319</v>
      </c>
      <c r="E221" s="438">
        <f t="shared" si="54"/>
        <v>0.02006031204929859</v>
      </c>
      <c r="F221" s="438">
        <f t="shared" si="54"/>
        <v>0.009125964010282761</v>
      </c>
      <c r="G221" s="438">
        <f t="shared" si="54"/>
        <v>-0.0007005477009298655</v>
      </c>
      <c r="H221" s="438">
        <f t="shared" si="54"/>
        <v>-0.00892231215346373</v>
      </c>
      <c r="I221" s="438">
        <f t="shared" si="54"/>
        <v>-0.014339913831907913</v>
      </c>
      <c r="J221" s="438">
        <f t="shared" si="54"/>
        <v>-0.012004175365344483</v>
      </c>
      <c r="K221" s="438">
        <f t="shared" si="54"/>
        <v>-0.006999471737981988</v>
      </c>
      <c r="L221" s="438">
        <f t="shared" si="54"/>
        <v>-0.0009309748636786574</v>
      </c>
      <c r="M221" s="438">
        <f t="shared" si="54"/>
        <v>0.005591054313099031</v>
      </c>
      <c r="N221" s="438">
        <f t="shared" si="54"/>
        <v>0.0053613979348690055</v>
      </c>
      <c r="O221" s="438">
        <f t="shared" si="54"/>
        <v>-0.004411086970834144</v>
      </c>
      <c r="P221" s="438">
        <f t="shared" si="54"/>
        <v>-0.0137547943393731</v>
      </c>
      <c r="Q221" s="438">
        <f t="shared" si="54"/>
        <v>-0.01743328416253187</v>
      </c>
      <c r="R221" s="438">
        <f t="shared" si="54"/>
        <v>-0.026409171557253974</v>
      </c>
      <c r="S221" s="438">
        <f t="shared" si="54"/>
        <v>-0.02523305530244624</v>
      </c>
      <c r="T221" s="438">
        <f t="shared" si="54"/>
        <v>-0.01905515208168551</v>
      </c>
      <c r="U221" s="438">
        <f t="shared" si="54"/>
        <v>-0.00630406098812486</v>
      </c>
      <c r="V221" s="438">
        <f t="shared" si="54"/>
        <v>0.004942460902921164</v>
      </c>
      <c r="W221" s="438">
        <f t="shared" si="54"/>
        <v>0.015782133157160594</v>
      </c>
      <c r="X221" s="438">
        <f t="shared" si="54"/>
        <v>0.021390374331550888</v>
      </c>
      <c r="Y221" s="438">
        <f t="shared" si="54"/>
        <v>0.027734540823546094</v>
      </c>
      <c r="Z221" s="438">
        <f t="shared" si="54"/>
        <v>0.02058378080682921</v>
      </c>
      <c r="AA221" s="438">
        <f t="shared" si="54"/>
        <v>0.01376053962900503</v>
      </c>
      <c r="AB221" s="438">
        <f t="shared" si="54"/>
        <v>0.009248785681016614</v>
      </c>
      <c r="AC221" s="438">
        <f t="shared" si="54"/>
        <v>0.0076476793248945185</v>
      </c>
      <c r="AD221" s="438">
        <f t="shared" si="54"/>
        <v>0.010075896362208736</v>
      </c>
      <c r="AE221" s="438">
        <f t="shared" si="54"/>
        <v>0.016452908407824873</v>
      </c>
      <c r="AF221" s="438">
        <f t="shared" si="54"/>
        <v>0.023770073923017998</v>
      </c>
      <c r="AG221" s="438">
        <f t="shared" si="54"/>
        <v>0.02906940553999382</v>
      </c>
      <c r="AH221" s="438">
        <f t="shared" si="54"/>
        <v>0.02147350592789743</v>
      </c>
      <c r="AI221" s="438">
        <f t="shared" si="54"/>
        <v>0.0129685556937289</v>
      </c>
      <c r="AJ221" s="438">
        <f aca="true" t="shared" si="55" ref="AJ221:BF221">SUM(AJ$54:AJ$58)/SUM(AI$54:AI$58)-1</f>
        <v>0.0037998363147433434</v>
      </c>
      <c r="AK221" s="438">
        <f t="shared" si="55"/>
        <v>-0.0016306563391764728</v>
      </c>
      <c r="AL221" s="438">
        <f t="shared" si="55"/>
        <v>-0.01038324680627667</v>
      </c>
      <c r="AM221" s="438">
        <f t="shared" si="55"/>
        <v>-0.013734158561744758</v>
      </c>
      <c r="AN221" s="438">
        <f t="shared" si="55"/>
        <v>-0.010698063590724338</v>
      </c>
      <c r="AO221" s="438">
        <f t="shared" si="55"/>
        <v>-0.009243037515858199</v>
      </c>
      <c r="AP221" s="438">
        <f t="shared" si="55"/>
        <v>-0.004329268292682875</v>
      </c>
      <c r="AQ221" s="438">
        <f t="shared" si="55"/>
        <v>-0.005144221936432158</v>
      </c>
      <c r="AR221" s="438">
        <f t="shared" si="55"/>
        <v>-0.005355493998153271</v>
      </c>
      <c r="AS221" s="438">
        <f t="shared" si="55"/>
        <v>-0.003589553162520076</v>
      </c>
      <c r="AT221" s="438">
        <f t="shared" si="55"/>
        <v>0.0035403726708074235</v>
      </c>
      <c r="AU221" s="438">
        <f t="shared" si="55"/>
        <v>-0.0019805656990777853</v>
      </c>
      <c r="AV221" s="438">
        <f t="shared" si="55"/>
        <v>0.006139534883720987</v>
      </c>
      <c r="AW221" s="438">
        <f t="shared" si="55"/>
        <v>0.022189349112426093</v>
      </c>
      <c r="AX221" s="438">
        <f t="shared" si="55"/>
        <v>0.019416304872165835</v>
      </c>
      <c r="AY221" s="438">
        <f t="shared" si="55"/>
        <v>0.013427185614574677</v>
      </c>
      <c r="AZ221" s="438">
        <f t="shared" si="55"/>
        <v>0.01173174575380842</v>
      </c>
      <c r="BA221" s="438">
        <f t="shared" si="55"/>
        <v>0.005307488173531771</v>
      </c>
      <c r="BB221" s="438">
        <f t="shared" si="55"/>
        <v>-0.004131757144496762</v>
      </c>
      <c r="BC221" s="438">
        <f t="shared" si="55"/>
        <v>-0.0059352310706465294</v>
      </c>
      <c r="BD221" s="438">
        <f t="shared" si="55"/>
        <v>-0.005796765404904036</v>
      </c>
      <c r="BE221" s="438">
        <f t="shared" si="55"/>
        <v>-0.004897673605037567</v>
      </c>
      <c r="BF221" s="438">
        <f t="shared" si="55"/>
        <v>-0.003632741548016627</v>
      </c>
    </row>
    <row r="222" spans="1:58" ht="12.75">
      <c r="A222" s="435" t="s">
        <v>728</v>
      </c>
      <c r="B222" s="436"/>
      <c r="C222" s="437"/>
      <c r="D222" s="438">
        <f aca="true" t="shared" si="56" ref="D222:AI222">SUM(D$59:D$63)/SUM(C$59:C$63)-1</f>
        <v>0.023474178403755763</v>
      </c>
      <c r="E222" s="438">
        <f t="shared" si="56"/>
        <v>0.021882989923296847</v>
      </c>
      <c r="F222" s="438">
        <f t="shared" si="56"/>
        <v>0.027375082787548743</v>
      </c>
      <c r="G222" s="438">
        <f t="shared" si="56"/>
        <v>0.025356349831674008</v>
      </c>
      <c r="H222" s="438">
        <f t="shared" si="56"/>
        <v>0.023402025847013563</v>
      </c>
      <c r="I222" s="438">
        <f t="shared" si="56"/>
        <v>0.02334470989761095</v>
      </c>
      <c r="J222" s="438">
        <f t="shared" si="56"/>
        <v>0.021077908217716157</v>
      </c>
      <c r="K222" s="438">
        <f t="shared" si="56"/>
        <v>0.009472171413639874</v>
      </c>
      <c r="L222" s="438">
        <f t="shared" si="56"/>
        <v>-0.0005824111822947398</v>
      </c>
      <c r="M222" s="438">
        <f t="shared" si="56"/>
        <v>-0.00867650867650871</v>
      </c>
      <c r="N222" s="438">
        <f t="shared" si="56"/>
        <v>-0.014239059438275636</v>
      </c>
      <c r="O222" s="438">
        <f t="shared" si="56"/>
        <v>-0.011661807580174877</v>
      </c>
      <c r="P222" s="438">
        <f t="shared" si="56"/>
        <v>-0.006838294448913929</v>
      </c>
      <c r="Q222" s="438">
        <f t="shared" si="56"/>
        <v>-0.0007425408397462308</v>
      </c>
      <c r="R222" s="438">
        <f t="shared" si="56"/>
        <v>0.005944740930892367</v>
      </c>
      <c r="S222" s="438">
        <f t="shared" si="56"/>
        <v>0.005506681888388876</v>
      </c>
      <c r="T222" s="438">
        <f t="shared" si="56"/>
        <v>-0.0041407867494823725</v>
      </c>
      <c r="U222" s="438">
        <f t="shared" si="56"/>
        <v>-0.013681174971497567</v>
      </c>
      <c r="V222" s="438">
        <f t="shared" si="56"/>
        <v>-0.017270687427755504</v>
      </c>
      <c r="W222" s="438">
        <f t="shared" si="56"/>
        <v>-0.026361309070781158</v>
      </c>
      <c r="X222" s="438">
        <f t="shared" si="56"/>
        <v>-0.025014212620807275</v>
      </c>
      <c r="Y222" s="438">
        <f t="shared" si="56"/>
        <v>-0.019023323615160348</v>
      </c>
      <c r="Z222" s="438">
        <f t="shared" si="56"/>
        <v>-0.0061668771825543756</v>
      </c>
      <c r="AA222" s="438">
        <f t="shared" si="56"/>
        <v>0.005233253588516673</v>
      </c>
      <c r="AB222" s="438">
        <f t="shared" si="56"/>
        <v>0.015989885467797116</v>
      </c>
      <c r="AC222" s="438">
        <f t="shared" si="56"/>
        <v>0.021521118512553894</v>
      </c>
      <c r="AD222" s="438">
        <f t="shared" si="56"/>
        <v>0.027875313507703225</v>
      </c>
      <c r="AE222" s="438">
        <f t="shared" si="56"/>
        <v>0.020844952593418897</v>
      </c>
      <c r="AF222" s="438">
        <f t="shared" si="56"/>
        <v>0.01379498736597684</v>
      </c>
      <c r="AG222" s="438">
        <f t="shared" si="56"/>
        <v>0.00936342202761864</v>
      </c>
      <c r="AH222" s="438">
        <f t="shared" si="56"/>
        <v>0.007741591030432371</v>
      </c>
      <c r="AI222" s="438">
        <f t="shared" si="56"/>
        <v>0.01026490066225172</v>
      </c>
      <c r="AJ222" s="438">
        <f aca="true" t="shared" si="57" ref="AJ222:BF222">SUM(AJ$59:AJ$63)/SUM(AI$59:AI$63)-1</f>
        <v>0.016650278597181156</v>
      </c>
      <c r="AK222" s="438">
        <f t="shared" si="57"/>
        <v>0.0238571152234186</v>
      </c>
      <c r="AL222" s="438">
        <f t="shared" si="57"/>
        <v>0.02922098368914927</v>
      </c>
      <c r="AM222" s="438">
        <f t="shared" si="57"/>
        <v>0.021477084990515927</v>
      </c>
      <c r="AN222" s="438">
        <f t="shared" si="57"/>
        <v>0.013058583922367362</v>
      </c>
      <c r="AO222" s="438">
        <f t="shared" si="57"/>
        <v>0.004020813623462738</v>
      </c>
      <c r="AP222" s="438">
        <f t="shared" si="57"/>
        <v>-0.0015901060070671047</v>
      </c>
      <c r="AQ222" s="438">
        <f t="shared" si="57"/>
        <v>-0.010322656756916126</v>
      </c>
      <c r="AR222" s="438">
        <f t="shared" si="57"/>
        <v>-0.013648825843366352</v>
      </c>
      <c r="AS222" s="438">
        <f t="shared" si="57"/>
        <v>-0.010755936914617181</v>
      </c>
      <c r="AT222" s="438">
        <f t="shared" si="57"/>
        <v>-0.009284710769042803</v>
      </c>
      <c r="AU222" s="438">
        <f t="shared" si="57"/>
        <v>-0.004192613601331718</v>
      </c>
      <c r="AV222" s="438">
        <f t="shared" si="57"/>
        <v>-0.005139000681072425</v>
      </c>
      <c r="AW222" s="438">
        <f t="shared" si="57"/>
        <v>-0.005290017425939708</v>
      </c>
      <c r="AX222" s="438">
        <f t="shared" si="57"/>
        <v>-0.0035662891822560994</v>
      </c>
      <c r="AY222" s="438">
        <f t="shared" si="57"/>
        <v>0.003516262715057117</v>
      </c>
      <c r="AZ222" s="438">
        <f t="shared" si="57"/>
        <v>-0.0018771117507195845</v>
      </c>
      <c r="BA222" s="438">
        <f t="shared" si="57"/>
        <v>0.006206118355065238</v>
      </c>
      <c r="BB222" s="438">
        <f t="shared" si="57"/>
        <v>0.02230390629867296</v>
      </c>
      <c r="BC222" s="438">
        <f t="shared" si="57"/>
        <v>0.019379608751294963</v>
      </c>
      <c r="BD222" s="438">
        <f t="shared" si="57"/>
        <v>0.013511089854725933</v>
      </c>
      <c r="BE222" s="438">
        <f t="shared" si="57"/>
        <v>0.011738335397864619</v>
      </c>
      <c r="BF222" s="438">
        <f t="shared" si="57"/>
        <v>0.005305503731343197</v>
      </c>
    </row>
    <row r="223" spans="1:58" ht="12.75">
      <c r="A223" s="435" t="s">
        <v>729</v>
      </c>
      <c r="B223" s="436"/>
      <c r="C223" s="437"/>
      <c r="D223" s="438">
        <f aca="true" t="shared" si="58" ref="D223:AI223">SUM(D$64:D$68)/SUM(C$64:C$68)-1</f>
        <v>-8.327781479011698E-05</v>
      </c>
      <c r="E223" s="438">
        <f t="shared" si="58"/>
        <v>0.0035812442741733896</v>
      </c>
      <c r="F223" s="438">
        <f t="shared" si="58"/>
        <v>0.010622406639004156</v>
      </c>
      <c r="G223" s="438">
        <f t="shared" si="58"/>
        <v>0.014205945146986476</v>
      </c>
      <c r="H223" s="438">
        <f t="shared" si="58"/>
        <v>0.023965670795887073</v>
      </c>
      <c r="I223" s="438">
        <f t="shared" si="58"/>
        <v>0.023879180833399127</v>
      </c>
      <c r="J223" s="438">
        <f t="shared" si="58"/>
        <v>0.023013360105027525</v>
      </c>
      <c r="K223" s="438">
        <f t="shared" si="58"/>
        <v>0.028006341058352868</v>
      </c>
      <c r="L223" s="438">
        <f t="shared" si="58"/>
        <v>0.025848142164781818</v>
      </c>
      <c r="M223" s="438">
        <f t="shared" si="58"/>
        <v>0.02397995705082323</v>
      </c>
      <c r="N223" s="438">
        <f t="shared" si="58"/>
        <v>0.023767913317022105</v>
      </c>
      <c r="O223" s="438">
        <f t="shared" si="58"/>
        <v>0.021235916695117707</v>
      </c>
      <c r="P223" s="438">
        <f t="shared" si="58"/>
        <v>0.009962556833377878</v>
      </c>
      <c r="Q223" s="438">
        <f t="shared" si="58"/>
        <v>-0.0002648129758358042</v>
      </c>
      <c r="R223" s="438">
        <f t="shared" si="58"/>
        <v>-0.008476259850341061</v>
      </c>
      <c r="S223" s="438">
        <f t="shared" si="58"/>
        <v>-0.013891671675682948</v>
      </c>
      <c r="T223" s="438">
        <f t="shared" si="58"/>
        <v>-0.011513714866237756</v>
      </c>
      <c r="U223" s="438">
        <f t="shared" si="58"/>
        <v>-0.0064405618362453065</v>
      </c>
      <c r="V223" s="438">
        <f t="shared" si="58"/>
        <v>-0.00048272532928761436</v>
      </c>
      <c r="W223" s="438">
        <f t="shared" si="58"/>
        <v>0.006278460052435486</v>
      </c>
      <c r="X223" s="438">
        <f t="shared" si="58"/>
        <v>0.005759341789509875</v>
      </c>
      <c r="Y223" s="438">
        <f t="shared" si="58"/>
        <v>-0.004090258367986932</v>
      </c>
      <c r="Z223" s="438">
        <f t="shared" si="58"/>
        <v>-0.013347936203709998</v>
      </c>
      <c r="AA223" s="438">
        <f t="shared" si="58"/>
        <v>-0.01727487165256003</v>
      </c>
      <c r="AB223" s="438">
        <f t="shared" si="58"/>
        <v>-0.02619131662548535</v>
      </c>
      <c r="AC223" s="438">
        <f t="shared" si="58"/>
        <v>-0.02486588371755838</v>
      </c>
      <c r="AD223" s="438">
        <f t="shared" si="58"/>
        <v>-0.01880901048249206</v>
      </c>
      <c r="AE223" s="438">
        <f t="shared" si="58"/>
        <v>-0.005909986361569919</v>
      </c>
      <c r="AF223" s="438">
        <f t="shared" si="58"/>
        <v>0.005411585365853622</v>
      </c>
      <c r="AG223" s="438">
        <f t="shared" si="58"/>
        <v>0.016223182472898223</v>
      </c>
      <c r="AH223" s="438">
        <f t="shared" si="58"/>
        <v>0.02170831779186866</v>
      </c>
      <c r="AI223" s="438">
        <f t="shared" si="58"/>
        <v>0.02818341121495327</v>
      </c>
      <c r="AJ223" s="438">
        <f aca="true" t="shared" si="59" ref="AJ223:BF223">SUM(AJ$64:AJ$68)/SUM(AI$64:AI$68)-1</f>
        <v>0.021090754154239555</v>
      </c>
      <c r="AK223" s="438">
        <f t="shared" si="59"/>
        <v>0.01383962723416099</v>
      </c>
      <c r="AL223" s="438">
        <f t="shared" si="59"/>
        <v>0.009534915626286278</v>
      </c>
      <c r="AM223" s="438">
        <f t="shared" si="59"/>
        <v>0.008017938438540373</v>
      </c>
      <c r="AN223" s="438">
        <f t="shared" si="59"/>
        <v>0.010246039770812176</v>
      </c>
      <c r="AO223" s="438">
        <f t="shared" si="59"/>
        <v>0.0168812971241743</v>
      </c>
      <c r="AP223" s="438">
        <f t="shared" si="59"/>
        <v>0.024015748031495976</v>
      </c>
      <c r="AQ223" s="438">
        <f t="shared" si="59"/>
        <v>0.029475842624631543</v>
      </c>
      <c r="AR223" s="438">
        <f t="shared" si="59"/>
        <v>0.02159840657288692</v>
      </c>
      <c r="AS223" s="438">
        <f t="shared" si="59"/>
        <v>0.01328215438981295</v>
      </c>
      <c r="AT223" s="438">
        <f t="shared" si="59"/>
        <v>0.003968492574108584</v>
      </c>
      <c r="AU223" s="438">
        <f t="shared" si="59"/>
        <v>-0.0016170569563395132</v>
      </c>
      <c r="AV223" s="438">
        <f t="shared" si="59"/>
        <v>-0.010257948410317907</v>
      </c>
      <c r="AW223" s="438">
        <f t="shared" si="59"/>
        <v>-0.013637190132735344</v>
      </c>
      <c r="AX223" s="438">
        <f t="shared" si="59"/>
        <v>-0.01063045348408509</v>
      </c>
      <c r="AY223" s="438">
        <f t="shared" si="59"/>
        <v>-0.009191975653686124</v>
      </c>
      <c r="AZ223" s="438">
        <f t="shared" si="59"/>
        <v>-0.004137152886604434</v>
      </c>
      <c r="BA223" s="438">
        <f t="shared" si="59"/>
        <v>-0.005161452760118368</v>
      </c>
      <c r="BB223" s="438">
        <f t="shared" si="59"/>
        <v>-0.005378044922492831</v>
      </c>
      <c r="BC223" s="438">
        <f t="shared" si="59"/>
        <v>-0.003562340966921096</v>
      </c>
      <c r="BD223" s="438">
        <f t="shared" si="59"/>
        <v>0.003702757916240973</v>
      </c>
      <c r="BE223" s="438">
        <f t="shared" si="59"/>
        <v>-0.0019081541788577017</v>
      </c>
      <c r="BF223" s="438">
        <f t="shared" si="59"/>
        <v>0.006245220494519588</v>
      </c>
    </row>
    <row r="224" spans="1:58" ht="12.75">
      <c r="A224" s="435" t="s">
        <v>730</v>
      </c>
      <c r="B224" s="436"/>
      <c r="C224" s="437"/>
      <c r="D224" s="438">
        <f aca="true" t="shared" si="60" ref="D224:AI224">SUM(D$69:D$73)/SUM(C$69:C$73)-1</f>
        <v>0.05788900979325362</v>
      </c>
      <c r="E224" s="438">
        <f t="shared" si="60"/>
        <v>0.06963587739148314</v>
      </c>
      <c r="F224" s="438">
        <f t="shared" si="60"/>
        <v>0.04423502259832679</v>
      </c>
      <c r="G224" s="438">
        <f t="shared" si="60"/>
        <v>0.03858550511096781</v>
      </c>
      <c r="H224" s="438">
        <f t="shared" si="60"/>
        <v>0.02819648873913816</v>
      </c>
      <c r="I224" s="438">
        <f t="shared" si="60"/>
        <v>0.000603656433252775</v>
      </c>
      <c r="J224" s="438">
        <f t="shared" si="60"/>
        <v>0.0046539688011721925</v>
      </c>
      <c r="K224" s="438">
        <f t="shared" si="60"/>
        <v>0.011581024277258267</v>
      </c>
      <c r="L224" s="438">
        <f t="shared" si="60"/>
        <v>0.014840569877883292</v>
      </c>
      <c r="M224" s="438">
        <f t="shared" si="60"/>
        <v>0.024483997660232237</v>
      </c>
      <c r="N224" s="438">
        <f t="shared" si="60"/>
        <v>0.02446982055464919</v>
      </c>
      <c r="O224" s="438">
        <f t="shared" si="60"/>
        <v>0.023487261146496907</v>
      </c>
      <c r="P224" s="438">
        <f t="shared" si="60"/>
        <v>0.028549202644885252</v>
      </c>
      <c r="Q224" s="438">
        <f t="shared" si="60"/>
        <v>0.02631977008016939</v>
      </c>
      <c r="R224" s="438">
        <f t="shared" si="60"/>
        <v>0.02446573323507728</v>
      </c>
      <c r="S224" s="438">
        <f t="shared" si="60"/>
        <v>0.024313048482232702</v>
      </c>
      <c r="T224" s="438">
        <f t="shared" si="60"/>
        <v>0.02169943820224729</v>
      </c>
      <c r="U224" s="438">
        <f t="shared" si="60"/>
        <v>0.010241253694412089</v>
      </c>
      <c r="V224" s="438">
        <f t="shared" si="60"/>
        <v>6.803646754649506E-05</v>
      </c>
      <c r="W224" s="438">
        <f t="shared" si="60"/>
        <v>-0.008027756990271473</v>
      </c>
      <c r="X224" s="438">
        <f t="shared" si="60"/>
        <v>-0.01351073314587481</v>
      </c>
      <c r="Y224" s="438">
        <f t="shared" si="60"/>
        <v>-0.010914905450500556</v>
      </c>
      <c r="Z224" s="438">
        <f t="shared" si="60"/>
        <v>-0.006185422084768355</v>
      </c>
      <c r="AA224" s="438">
        <f t="shared" si="60"/>
        <v>0</v>
      </c>
      <c r="AB224" s="438">
        <f t="shared" si="60"/>
        <v>0.006577551453426755</v>
      </c>
      <c r="AC224" s="438">
        <f t="shared" si="60"/>
        <v>0.006042720629567233</v>
      </c>
      <c r="AD224" s="438">
        <f t="shared" si="60"/>
        <v>-0.003771476463193202</v>
      </c>
      <c r="AE224" s="438">
        <f t="shared" si="60"/>
        <v>-0.013109927089175577</v>
      </c>
      <c r="AF224" s="438">
        <f t="shared" si="60"/>
        <v>-0.016907011437095942</v>
      </c>
      <c r="AG224" s="438">
        <f t="shared" si="60"/>
        <v>-0.02594118072115037</v>
      </c>
      <c r="AH224" s="438">
        <f t="shared" si="60"/>
        <v>-0.024629080118694358</v>
      </c>
      <c r="AI224" s="438">
        <f t="shared" si="60"/>
        <v>-0.01840584119257682</v>
      </c>
      <c r="AJ224" s="438">
        <f aca="true" t="shared" si="61" ref="AJ224:BF224">SUM(AJ$69:AJ$73)/SUM(AI$69:AI$73)-1</f>
        <v>-0.005656283898961778</v>
      </c>
      <c r="AK224" s="438">
        <f t="shared" si="61"/>
        <v>0.005766383542429754</v>
      </c>
      <c r="AL224" s="438">
        <f t="shared" si="61"/>
        <v>0.01642519563027811</v>
      </c>
      <c r="AM224" s="438">
        <f t="shared" si="61"/>
        <v>0.021876667428919916</v>
      </c>
      <c r="AN224" s="438">
        <f t="shared" si="61"/>
        <v>0.028345516932716697</v>
      </c>
      <c r="AO224" s="438">
        <f t="shared" si="61"/>
        <v>0.021108370810967614</v>
      </c>
      <c r="AP224" s="438">
        <f t="shared" si="61"/>
        <v>0.014065496909853037</v>
      </c>
      <c r="AQ224" s="438">
        <f t="shared" si="61"/>
        <v>0.009737302977232964</v>
      </c>
      <c r="AR224" s="438">
        <f t="shared" si="61"/>
        <v>0.007908977383099813</v>
      </c>
      <c r="AS224" s="438">
        <f t="shared" si="61"/>
        <v>0.010462555066079293</v>
      </c>
      <c r="AT224" s="438">
        <f t="shared" si="61"/>
        <v>0.017029972752043543</v>
      </c>
      <c r="AU224" s="438">
        <f t="shared" si="61"/>
        <v>0.02417950435365035</v>
      </c>
      <c r="AV224" s="438">
        <f t="shared" si="61"/>
        <v>0.029559871820024952</v>
      </c>
      <c r="AW224" s="438">
        <f t="shared" si="61"/>
        <v>0.02166042050435113</v>
      </c>
      <c r="AX224" s="438">
        <f t="shared" si="61"/>
        <v>0.013118627207162392</v>
      </c>
      <c r="AY224" s="438">
        <f t="shared" si="61"/>
        <v>0.004111690702669479</v>
      </c>
      <c r="AZ224" s="438">
        <f t="shared" si="61"/>
        <v>-0.0015890477936683078</v>
      </c>
      <c r="BA224" s="438">
        <f t="shared" si="61"/>
        <v>-0.010222820763956864</v>
      </c>
      <c r="BB224" s="438">
        <f t="shared" si="61"/>
        <v>-0.013482590141629003</v>
      </c>
      <c r="BC224" s="438">
        <f t="shared" si="61"/>
        <v>-0.010657639019497234</v>
      </c>
      <c r="BD224" s="438">
        <f t="shared" si="61"/>
        <v>-0.009188264368544474</v>
      </c>
      <c r="BE224" s="438">
        <f t="shared" si="61"/>
        <v>-0.004029163468917907</v>
      </c>
      <c r="BF224" s="438">
        <f t="shared" si="61"/>
        <v>-0.00507288255313687</v>
      </c>
    </row>
    <row r="225" spans="1:58" ht="12.75">
      <c r="A225" s="435" t="s">
        <v>731</v>
      </c>
      <c r="B225" s="439"/>
      <c r="C225" s="437"/>
      <c r="D225" s="438">
        <f aca="true" t="shared" si="62" ref="D225:AI225">SUM(D$74:D$99)/SUM(C$74:C$99)-1</f>
        <v>0.0342869622188251</v>
      </c>
      <c r="E225" s="438">
        <f t="shared" si="62"/>
        <v>0.02487331081081079</v>
      </c>
      <c r="F225" s="438">
        <f t="shared" si="62"/>
        <v>0.0314804895133709</v>
      </c>
      <c r="G225" s="438">
        <f t="shared" si="62"/>
        <v>0.03199776295290224</v>
      </c>
      <c r="H225" s="438">
        <f t="shared" si="62"/>
        <v>0.03363784160408767</v>
      </c>
      <c r="I225" s="438">
        <f t="shared" si="62"/>
        <v>0.04478897502153312</v>
      </c>
      <c r="J225" s="438">
        <f t="shared" si="62"/>
        <v>0.040969210365962905</v>
      </c>
      <c r="K225" s="438">
        <f t="shared" si="62"/>
        <v>0.037876179326492565</v>
      </c>
      <c r="L225" s="438">
        <f t="shared" si="62"/>
        <v>0.036261694645345344</v>
      </c>
      <c r="M225" s="438">
        <f t="shared" si="62"/>
        <v>0.03377621258203933</v>
      </c>
      <c r="N225" s="438">
        <f t="shared" si="62"/>
        <v>0.033323010219882265</v>
      </c>
      <c r="O225" s="438">
        <f t="shared" si="62"/>
        <v>0.03188874902595451</v>
      </c>
      <c r="P225" s="438">
        <f t="shared" si="62"/>
        <v>0.03165843740923613</v>
      </c>
      <c r="Q225" s="438">
        <f t="shared" si="62"/>
        <v>0.03167229729729737</v>
      </c>
      <c r="R225" s="438">
        <f t="shared" si="62"/>
        <v>0.032664756446991294</v>
      </c>
      <c r="S225" s="438">
        <f t="shared" si="62"/>
        <v>0.032160033824850665</v>
      </c>
      <c r="T225" s="438">
        <f t="shared" si="62"/>
        <v>0.03072275275864711</v>
      </c>
      <c r="U225" s="438">
        <f t="shared" si="62"/>
        <v>0.032042524652872606</v>
      </c>
      <c r="V225" s="438">
        <f t="shared" si="62"/>
        <v>0.031192086452140888</v>
      </c>
      <c r="W225" s="438">
        <f t="shared" si="62"/>
        <v>0.0313455479052398</v>
      </c>
      <c r="X225" s="438">
        <f t="shared" si="62"/>
        <v>0.03082284783199052</v>
      </c>
      <c r="Y225" s="438">
        <f t="shared" si="62"/>
        <v>0.02864983534577381</v>
      </c>
      <c r="Z225" s="438">
        <f t="shared" si="62"/>
        <v>0.026485967346067563</v>
      </c>
      <c r="AA225" s="438">
        <f t="shared" si="62"/>
        <v>0.02266300731869597</v>
      </c>
      <c r="AB225" s="438">
        <f t="shared" si="62"/>
        <v>0.020696946285528428</v>
      </c>
      <c r="AC225" s="438">
        <f t="shared" si="62"/>
        <v>0.018942713727989835</v>
      </c>
      <c r="AD225" s="438">
        <f t="shared" si="62"/>
        <v>0.018140944189228847</v>
      </c>
      <c r="AE225" s="438">
        <f t="shared" si="62"/>
        <v>0.017932914770654618</v>
      </c>
      <c r="AF225" s="438">
        <f t="shared" si="62"/>
        <v>0.016428692683478907</v>
      </c>
      <c r="AG225" s="438">
        <f t="shared" si="62"/>
        <v>0.016385837292161476</v>
      </c>
      <c r="AH225" s="438">
        <f t="shared" si="62"/>
        <v>0.014880137298935558</v>
      </c>
      <c r="AI225" s="438">
        <f t="shared" si="62"/>
        <v>0.011819522901449941</v>
      </c>
      <c r="AJ225" s="438">
        <f aca="true" t="shared" si="63" ref="AJ225:BF225">SUM(AJ$74:AJ$99)/SUM(AI$74:AI$99)-1</f>
        <v>0.009352274949771422</v>
      </c>
      <c r="AK225" s="438">
        <f t="shared" si="63"/>
        <v>0.00745124980182843</v>
      </c>
      <c r="AL225" s="438">
        <f t="shared" si="63"/>
        <v>0.0055777031752692885</v>
      </c>
      <c r="AM225" s="438">
        <f t="shared" si="63"/>
        <v>0.004938185738380563</v>
      </c>
      <c r="AN225" s="438">
        <f t="shared" si="63"/>
        <v>0.00396228047408953</v>
      </c>
      <c r="AO225" s="438">
        <f t="shared" si="63"/>
        <v>0.004618778436509041</v>
      </c>
      <c r="AP225" s="438">
        <f t="shared" si="63"/>
        <v>0.005266588897275826</v>
      </c>
      <c r="AQ225" s="438">
        <f t="shared" si="63"/>
        <v>0.006092254134029584</v>
      </c>
      <c r="AR225" s="438">
        <f t="shared" si="63"/>
        <v>0.0067168736006513186</v>
      </c>
      <c r="AS225" s="438">
        <f t="shared" si="63"/>
        <v>0.007312306240733202</v>
      </c>
      <c r="AT225" s="438">
        <f t="shared" si="63"/>
        <v>0.006573445288194479</v>
      </c>
      <c r="AU225" s="438">
        <f t="shared" si="63"/>
        <v>0.0058990677811197045</v>
      </c>
      <c r="AV225" s="438">
        <f t="shared" si="63"/>
        <v>0.005765355007103512</v>
      </c>
      <c r="AW225" s="438">
        <f t="shared" si="63"/>
        <v>0.006093655043279744</v>
      </c>
      <c r="AX225" s="438">
        <f t="shared" si="63"/>
        <v>0.007460737257974914</v>
      </c>
      <c r="AY225" s="438">
        <f t="shared" si="63"/>
        <v>0.008442579118795646</v>
      </c>
      <c r="AZ225" s="438">
        <f t="shared" si="63"/>
        <v>0.009528859750610685</v>
      </c>
      <c r="BA225" s="438">
        <f t="shared" si="63"/>
        <v>0.01088738559490654</v>
      </c>
      <c r="BB225" s="438">
        <f t="shared" si="63"/>
        <v>0.009604937882819797</v>
      </c>
      <c r="BC225" s="438">
        <f t="shared" si="63"/>
        <v>0.008889720675618662</v>
      </c>
      <c r="BD225" s="438">
        <f t="shared" si="63"/>
        <v>0.007729289369135417</v>
      </c>
      <c r="BE225" s="438">
        <f t="shared" si="63"/>
        <v>0.00742456549417847</v>
      </c>
      <c r="BF225" s="438">
        <f t="shared" si="63"/>
        <v>0.006730315350296223</v>
      </c>
    </row>
    <row r="226" spans="3:9" ht="12.75">
      <c r="C226" s="434"/>
      <c r="D226" s="434"/>
      <c r="E226" s="434"/>
      <c r="F226" s="434"/>
      <c r="G226" s="434"/>
      <c r="H226" s="434"/>
      <c r="I226" s="434"/>
    </row>
    <row r="227" ht="18.75">
      <c r="A227" s="1" t="s">
        <v>626</v>
      </c>
    </row>
    <row r="228" ht="15.75">
      <c r="A228" s="14" t="s">
        <v>104</v>
      </c>
    </row>
    <row r="229" spans="1:58" s="108" customFormat="1" ht="12.75">
      <c r="A229" s="440" t="s">
        <v>240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</row>
    <row r="230" spans="1:58" s="108" customFormat="1" ht="12.75">
      <c r="A230" s="441" t="s">
        <v>775</v>
      </c>
      <c r="B230" s="25"/>
      <c r="C230" s="442">
        <v>0.5377559829998116</v>
      </c>
      <c r="D230" s="442">
        <v>0.5356317897256491</v>
      </c>
      <c r="E230" s="442">
        <v>0.5313374155804663</v>
      </c>
      <c r="F230" s="470">
        <v>0.5319693187358154</v>
      </c>
      <c r="G230" s="470">
        <v>0.5256479077364397</v>
      </c>
      <c r="H230" s="470">
        <v>0.52036559664528</v>
      </c>
      <c r="I230" s="470">
        <v>0.5192901595808138</v>
      </c>
      <c r="J230" s="470">
        <v>0.5198340114488984</v>
      </c>
      <c r="K230" s="442">
        <f aca="true" t="shared" si="64" ref="K230:AU230">J230*K264/J264</f>
        <v>0.5198340114488984</v>
      </c>
      <c r="L230" s="442">
        <f t="shared" si="64"/>
        <v>0.5198340114488984</v>
      </c>
      <c r="M230" s="442">
        <f t="shared" si="64"/>
        <v>0.5198340114488984</v>
      </c>
      <c r="N230" s="442">
        <f t="shared" si="64"/>
        <v>0.5198340114488984</v>
      </c>
      <c r="O230" s="442">
        <f t="shared" si="64"/>
        <v>0.5198340114488984</v>
      </c>
      <c r="P230" s="442">
        <f t="shared" si="64"/>
        <v>0.5198340114488984</v>
      </c>
      <c r="Q230" s="442">
        <f t="shared" si="64"/>
        <v>0.5198340114488984</v>
      </c>
      <c r="R230" s="442">
        <f t="shared" si="64"/>
        <v>0.5198340114488984</v>
      </c>
      <c r="S230" s="442">
        <f t="shared" si="64"/>
        <v>0.5198340114488984</v>
      </c>
      <c r="T230" s="442">
        <f t="shared" si="64"/>
        <v>0.5198340114488984</v>
      </c>
      <c r="U230" s="442">
        <f t="shared" si="64"/>
        <v>0.5198340114488984</v>
      </c>
      <c r="V230" s="442">
        <f t="shared" si="64"/>
        <v>0.5198340114488984</v>
      </c>
      <c r="W230" s="442">
        <f t="shared" si="64"/>
        <v>0.5198340114488984</v>
      </c>
      <c r="X230" s="442">
        <f t="shared" si="64"/>
        <v>0.5198340114488984</v>
      </c>
      <c r="Y230" s="442">
        <f t="shared" si="64"/>
        <v>0.5198340114488984</v>
      </c>
      <c r="Z230" s="442">
        <f t="shared" si="64"/>
        <v>0.5198340114488984</v>
      </c>
      <c r="AA230" s="442">
        <f t="shared" si="64"/>
        <v>0.5198340114488984</v>
      </c>
      <c r="AB230" s="442">
        <f t="shared" si="64"/>
        <v>0.5198340114488984</v>
      </c>
      <c r="AC230" s="442">
        <f t="shared" si="64"/>
        <v>0.5198340114488984</v>
      </c>
      <c r="AD230" s="442">
        <f t="shared" si="64"/>
        <v>0.5198340114488984</v>
      </c>
      <c r="AE230" s="442">
        <f t="shared" si="64"/>
        <v>0.5198340114488984</v>
      </c>
      <c r="AF230" s="442">
        <f t="shared" si="64"/>
        <v>0.5198340114488984</v>
      </c>
      <c r="AG230" s="442">
        <f t="shared" si="64"/>
        <v>0.5198340114488984</v>
      </c>
      <c r="AH230" s="442">
        <f t="shared" si="64"/>
        <v>0.5198340114488984</v>
      </c>
      <c r="AI230" s="442">
        <f t="shared" si="64"/>
        <v>0.5198340114488984</v>
      </c>
      <c r="AJ230" s="442">
        <f t="shared" si="64"/>
        <v>0.5198340114488984</v>
      </c>
      <c r="AK230" s="442">
        <f t="shared" si="64"/>
        <v>0.5198340114488984</v>
      </c>
      <c r="AL230" s="442">
        <f t="shared" si="64"/>
        <v>0.5198340114488984</v>
      </c>
      <c r="AM230" s="442">
        <f t="shared" si="64"/>
        <v>0.5198340114488984</v>
      </c>
      <c r="AN230" s="442">
        <f t="shared" si="64"/>
        <v>0.5198340114488984</v>
      </c>
      <c r="AO230" s="442">
        <f t="shared" si="64"/>
        <v>0.5198340114488984</v>
      </c>
      <c r="AP230" s="442">
        <f t="shared" si="64"/>
        <v>0.5198340114488984</v>
      </c>
      <c r="AQ230" s="442">
        <f t="shared" si="64"/>
        <v>0.5198340114488984</v>
      </c>
      <c r="AR230" s="442">
        <f t="shared" si="64"/>
        <v>0.5198340114488984</v>
      </c>
      <c r="AS230" s="442">
        <f t="shared" si="64"/>
        <v>0.5198340114488984</v>
      </c>
      <c r="AT230" s="442">
        <f t="shared" si="64"/>
        <v>0.5198340114488984</v>
      </c>
      <c r="AU230" s="442">
        <f t="shared" si="64"/>
        <v>0.5198340114488984</v>
      </c>
      <c r="AV230" s="442">
        <f aca="true" t="shared" si="65" ref="AV230:BF230">AU230</f>
        <v>0.5198340114488984</v>
      </c>
      <c r="AW230" s="442">
        <f t="shared" si="65"/>
        <v>0.5198340114488984</v>
      </c>
      <c r="AX230" s="442">
        <f t="shared" si="65"/>
        <v>0.5198340114488984</v>
      </c>
      <c r="AY230" s="442">
        <f t="shared" si="65"/>
        <v>0.5198340114488984</v>
      </c>
      <c r="AZ230" s="442">
        <f t="shared" si="65"/>
        <v>0.5198340114488984</v>
      </c>
      <c r="BA230" s="442">
        <f t="shared" si="65"/>
        <v>0.5198340114488984</v>
      </c>
      <c r="BB230" s="442">
        <f t="shared" si="65"/>
        <v>0.5198340114488984</v>
      </c>
      <c r="BC230" s="442">
        <f t="shared" si="65"/>
        <v>0.5198340114488984</v>
      </c>
      <c r="BD230" s="442">
        <f t="shared" si="65"/>
        <v>0.5198340114488984</v>
      </c>
      <c r="BE230" s="442">
        <f t="shared" si="65"/>
        <v>0.5198340114488984</v>
      </c>
      <c r="BF230" s="442">
        <f t="shared" si="65"/>
        <v>0.5198340114488984</v>
      </c>
    </row>
    <row r="231" spans="1:58" s="108" customFormat="1" ht="12.75">
      <c r="A231" s="441" t="s">
        <v>776</v>
      </c>
      <c r="B231" s="25"/>
      <c r="C231" s="442">
        <v>0.7975896468974973</v>
      </c>
      <c r="D231" s="442">
        <v>0.8108584818998367</v>
      </c>
      <c r="E231" s="442">
        <v>0.7779888112162336</v>
      </c>
      <c r="F231" s="470">
        <v>0.7763215920032162</v>
      </c>
      <c r="G231" s="470">
        <v>0.7682731013615165</v>
      </c>
      <c r="H231" s="470">
        <v>0.7607434280163908</v>
      </c>
      <c r="I231" s="470">
        <v>0.7571496595110643</v>
      </c>
      <c r="J231" s="470">
        <v>0.7553646808986</v>
      </c>
      <c r="K231" s="442">
        <f aca="true" t="shared" si="66" ref="K231:AU231">J231*K265/J265</f>
        <v>0.7560898488425505</v>
      </c>
      <c r="L231" s="442">
        <f t="shared" si="66"/>
        <v>0.756815016786501</v>
      </c>
      <c r="M231" s="442">
        <f t="shared" si="66"/>
        <v>0.7575401847304515</v>
      </c>
      <c r="N231" s="442">
        <f t="shared" si="66"/>
        <v>0.758265352674402</v>
      </c>
      <c r="O231" s="442">
        <f t="shared" si="66"/>
        <v>0.7584884812725406</v>
      </c>
      <c r="P231" s="442">
        <f t="shared" si="66"/>
        <v>0.7587116098706792</v>
      </c>
      <c r="Q231" s="442">
        <f t="shared" si="66"/>
        <v>0.7589347384688178</v>
      </c>
      <c r="R231" s="442">
        <f t="shared" si="66"/>
        <v>0.7591578670669564</v>
      </c>
      <c r="S231" s="442">
        <f t="shared" si="66"/>
        <v>0.7593809956650951</v>
      </c>
      <c r="T231" s="442">
        <f t="shared" si="66"/>
        <v>0.7593809956650952</v>
      </c>
      <c r="U231" s="442">
        <f t="shared" si="66"/>
        <v>0.7593809956650952</v>
      </c>
      <c r="V231" s="442">
        <f t="shared" si="66"/>
        <v>0.7593809956650952</v>
      </c>
      <c r="W231" s="442">
        <f t="shared" si="66"/>
        <v>0.7593809956650952</v>
      </c>
      <c r="X231" s="442">
        <f t="shared" si="66"/>
        <v>0.7593809956650952</v>
      </c>
      <c r="Y231" s="442">
        <f t="shared" si="66"/>
        <v>0.7593809956650952</v>
      </c>
      <c r="Z231" s="442">
        <f t="shared" si="66"/>
        <v>0.7593809956650952</v>
      </c>
      <c r="AA231" s="442">
        <f t="shared" si="66"/>
        <v>0.7593809956650952</v>
      </c>
      <c r="AB231" s="442">
        <f t="shared" si="66"/>
        <v>0.7593809956650952</v>
      </c>
      <c r="AC231" s="442">
        <f t="shared" si="66"/>
        <v>0.7593809956650952</v>
      </c>
      <c r="AD231" s="442">
        <f t="shared" si="66"/>
        <v>0.7593809956650952</v>
      </c>
      <c r="AE231" s="442">
        <f t="shared" si="66"/>
        <v>0.7593809956650952</v>
      </c>
      <c r="AF231" s="442">
        <f t="shared" si="66"/>
        <v>0.7593809956650952</v>
      </c>
      <c r="AG231" s="442">
        <f t="shared" si="66"/>
        <v>0.7593809956650952</v>
      </c>
      <c r="AH231" s="442">
        <f t="shared" si="66"/>
        <v>0.7593809956650952</v>
      </c>
      <c r="AI231" s="442">
        <f t="shared" si="66"/>
        <v>0.7593809956650952</v>
      </c>
      <c r="AJ231" s="442">
        <f t="shared" si="66"/>
        <v>0.7593809956650952</v>
      </c>
      <c r="AK231" s="442">
        <f t="shared" si="66"/>
        <v>0.7593809956650952</v>
      </c>
      <c r="AL231" s="442">
        <f t="shared" si="66"/>
        <v>0.7593809956650952</v>
      </c>
      <c r="AM231" s="442">
        <f t="shared" si="66"/>
        <v>0.7593809956650952</v>
      </c>
      <c r="AN231" s="442">
        <f t="shared" si="66"/>
        <v>0.7593809956650952</v>
      </c>
      <c r="AO231" s="442">
        <f t="shared" si="66"/>
        <v>0.7593809956650952</v>
      </c>
      <c r="AP231" s="442">
        <f t="shared" si="66"/>
        <v>0.7593809956650952</v>
      </c>
      <c r="AQ231" s="442">
        <f t="shared" si="66"/>
        <v>0.7593809956650952</v>
      </c>
      <c r="AR231" s="442">
        <f t="shared" si="66"/>
        <v>0.7593809956650952</v>
      </c>
      <c r="AS231" s="442">
        <f t="shared" si="66"/>
        <v>0.7593809956650952</v>
      </c>
      <c r="AT231" s="442">
        <f t="shared" si="66"/>
        <v>0.7593809956650952</v>
      </c>
      <c r="AU231" s="442">
        <f t="shared" si="66"/>
        <v>0.7593809956650952</v>
      </c>
      <c r="AV231" s="442">
        <f aca="true" t="shared" si="67" ref="AV231:BF231">AU231</f>
        <v>0.7593809956650952</v>
      </c>
      <c r="AW231" s="442">
        <f t="shared" si="67"/>
        <v>0.7593809956650952</v>
      </c>
      <c r="AX231" s="442">
        <f t="shared" si="67"/>
        <v>0.7593809956650952</v>
      </c>
      <c r="AY231" s="442">
        <f t="shared" si="67"/>
        <v>0.7593809956650952</v>
      </c>
      <c r="AZ231" s="442">
        <f t="shared" si="67"/>
        <v>0.7593809956650952</v>
      </c>
      <c r="BA231" s="442">
        <f t="shared" si="67"/>
        <v>0.7593809956650952</v>
      </c>
      <c r="BB231" s="442">
        <f t="shared" si="67"/>
        <v>0.7593809956650952</v>
      </c>
      <c r="BC231" s="442">
        <f t="shared" si="67"/>
        <v>0.7593809956650952</v>
      </c>
      <c r="BD231" s="442">
        <f t="shared" si="67"/>
        <v>0.7593809956650952</v>
      </c>
      <c r="BE231" s="442">
        <f t="shared" si="67"/>
        <v>0.7593809956650952</v>
      </c>
      <c r="BF231" s="442">
        <f t="shared" si="67"/>
        <v>0.7593809956650952</v>
      </c>
    </row>
    <row r="232" spans="1:58" s="108" customFormat="1" ht="12.75">
      <c r="A232" s="441" t="s">
        <v>777</v>
      </c>
      <c r="B232" s="25"/>
      <c r="C232" s="442">
        <v>0.8927001498659094</v>
      </c>
      <c r="D232" s="442">
        <v>0.9040000866851593</v>
      </c>
      <c r="E232" s="442">
        <v>0.8868276447465115</v>
      </c>
      <c r="F232" s="470">
        <v>0.8903902598999823</v>
      </c>
      <c r="G232" s="470">
        <v>0.8852577792533941</v>
      </c>
      <c r="H232" s="470">
        <v>0.8807974273529646</v>
      </c>
      <c r="I232" s="470">
        <v>0.8798234725375406</v>
      </c>
      <c r="J232" s="470">
        <v>0.8802840647694296</v>
      </c>
      <c r="K232" s="442">
        <f aca="true" t="shared" si="68" ref="K232:AU232">J232*K266/J266</f>
        <v>0.8803760909464116</v>
      </c>
      <c r="L232" s="442">
        <f t="shared" si="68"/>
        <v>0.8804681171233936</v>
      </c>
      <c r="M232" s="442">
        <f t="shared" si="68"/>
        <v>0.8805601433003756</v>
      </c>
      <c r="N232" s="442">
        <f t="shared" si="68"/>
        <v>0.8806521694773576</v>
      </c>
      <c r="O232" s="442">
        <f t="shared" si="68"/>
        <v>0.8809512545525491</v>
      </c>
      <c r="P232" s="442">
        <f t="shared" si="68"/>
        <v>0.8812503396277406</v>
      </c>
      <c r="Q232" s="442">
        <f t="shared" si="68"/>
        <v>0.8815494247029322</v>
      </c>
      <c r="R232" s="442">
        <f t="shared" si="68"/>
        <v>0.8818485097781237</v>
      </c>
      <c r="S232" s="442">
        <f t="shared" si="68"/>
        <v>0.8821475948533152</v>
      </c>
      <c r="T232" s="442">
        <f t="shared" si="68"/>
        <v>0.8822396210302972</v>
      </c>
      <c r="U232" s="442">
        <f t="shared" si="68"/>
        <v>0.8823316472072792</v>
      </c>
      <c r="V232" s="442">
        <f t="shared" si="68"/>
        <v>0.8824236733842613</v>
      </c>
      <c r="W232" s="442">
        <f t="shared" si="68"/>
        <v>0.8825156995612433</v>
      </c>
      <c r="X232" s="442">
        <f t="shared" si="68"/>
        <v>0.8826077257382253</v>
      </c>
      <c r="Y232" s="442">
        <f t="shared" si="68"/>
        <v>0.8826077257382253</v>
      </c>
      <c r="Z232" s="442">
        <f t="shared" si="68"/>
        <v>0.8826077257382253</v>
      </c>
      <c r="AA232" s="442">
        <f t="shared" si="68"/>
        <v>0.8826077257382253</v>
      </c>
      <c r="AB232" s="442">
        <f t="shared" si="68"/>
        <v>0.8826077257382253</v>
      </c>
      <c r="AC232" s="442">
        <f t="shared" si="68"/>
        <v>0.8826077257382253</v>
      </c>
      <c r="AD232" s="442">
        <f t="shared" si="68"/>
        <v>0.8826077257382253</v>
      </c>
      <c r="AE232" s="442">
        <f t="shared" si="68"/>
        <v>0.8826077257382253</v>
      </c>
      <c r="AF232" s="442">
        <f t="shared" si="68"/>
        <v>0.8826077257382253</v>
      </c>
      <c r="AG232" s="442">
        <f t="shared" si="68"/>
        <v>0.8826077257382253</v>
      </c>
      <c r="AH232" s="442">
        <f t="shared" si="68"/>
        <v>0.8826077257382253</v>
      </c>
      <c r="AI232" s="442">
        <f t="shared" si="68"/>
        <v>0.8826077257382253</v>
      </c>
      <c r="AJ232" s="442">
        <f t="shared" si="68"/>
        <v>0.8826077257382253</v>
      </c>
      <c r="AK232" s="442">
        <f t="shared" si="68"/>
        <v>0.8826077257382253</v>
      </c>
      <c r="AL232" s="442">
        <f t="shared" si="68"/>
        <v>0.8826077257382253</v>
      </c>
      <c r="AM232" s="442">
        <f t="shared" si="68"/>
        <v>0.8826077257382253</v>
      </c>
      <c r="AN232" s="442">
        <f t="shared" si="68"/>
        <v>0.8826077257382253</v>
      </c>
      <c r="AO232" s="442">
        <f t="shared" si="68"/>
        <v>0.8826077257382253</v>
      </c>
      <c r="AP232" s="442">
        <f t="shared" si="68"/>
        <v>0.8826077257382253</v>
      </c>
      <c r="AQ232" s="442">
        <f t="shared" si="68"/>
        <v>0.8826077257382253</v>
      </c>
      <c r="AR232" s="442">
        <f t="shared" si="68"/>
        <v>0.8826077257382253</v>
      </c>
      <c r="AS232" s="442">
        <f t="shared" si="68"/>
        <v>0.8826077257382253</v>
      </c>
      <c r="AT232" s="442">
        <f t="shared" si="68"/>
        <v>0.8826077257382253</v>
      </c>
      <c r="AU232" s="442">
        <f t="shared" si="68"/>
        <v>0.8826077257382253</v>
      </c>
      <c r="AV232" s="442">
        <f aca="true" t="shared" si="69" ref="AV232:BF232">AU232</f>
        <v>0.8826077257382253</v>
      </c>
      <c r="AW232" s="442">
        <f t="shared" si="69"/>
        <v>0.8826077257382253</v>
      </c>
      <c r="AX232" s="442">
        <f t="shared" si="69"/>
        <v>0.8826077257382253</v>
      </c>
      <c r="AY232" s="442">
        <f t="shared" si="69"/>
        <v>0.8826077257382253</v>
      </c>
      <c r="AZ232" s="442">
        <f t="shared" si="69"/>
        <v>0.8826077257382253</v>
      </c>
      <c r="BA232" s="442">
        <f t="shared" si="69"/>
        <v>0.8826077257382253</v>
      </c>
      <c r="BB232" s="442">
        <f t="shared" si="69"/>
        <v>0.8826077257382253</v>
      </c>
      <c r="BC232" s="442">
        <f t="shared" si="69"/>
        <v>0.8826077257382253</v>
      </c>
      <c r="BD232" s="442">
        <f t="shared" si="69"/>
        <v>0.8826077257382253</v>
      </c>
      <c r="BE232" s="442">
        <f t="shared" si="69"/>
        <v>0.8826077257382253</v>
      </c>
      <c r="BF232" s="442">
        <f t="shared" si="69"/>
        <v>0.8826077257382253</v>
      </c>
    </row>
    <row r="233" spans="1:58" s="108" customFormat="1" ht="12.75">
      <c r="A233" s="441" t="s">
        <v>778</v>
      </c>
      <c r="B233" s="25"/>
      <c r="C233" s="442">
        <v>0.9107891358568075</v>
      </c>
      <c r="D233" s="442">
        <v>0.9083435449815247</v>
      </c>
      <c r="E233" s="442">
        <v>0.9126279218680694</v>
      </c>
      <c r="F233" s="470">
        <v>0.9045657631253607</v>
      </c>
      <c r="G233" s="470">
        <v>0.9005749293196033</v>
      </c>
      <c r="H233" s="470">
        <v>0.897123757473226</v>
      </c>
      <c r="I233" s="470">
        <v>0.8968311646253292</v>
      </c>
      <c r="J233" s="470">
        <v>0.8978671292081386</v>
      </c>
      <c r="K233" s="442">
        <f aca="true" t="shared" si="70" ref="K233:AU233">J233*K267/J267</f>
        <v>0.8983174765212699</v>
      </c>
      <c r="L233" s="442">
        <f t="shared" si="70"/>
        <v>0.8987678238344012</v>
      </c>
      <c r="M233" s="442">
        <f t="shared" si="70"/>
        <v>0.8992181711475326</v>
      </c>
      <c r="N233" s="442">
        <f t="shared" si="70"/>
        <v>0.899668518460664</v>
      </c>
      <c r="O233" s="442">
        <f t="shared" si="70"/>
        <v>0.8997232442101079</v>
      </c>
      <c r="P233" s="442">
        <f t="shared" si="70"/>
        <v>0.8997779699595516</v>
      </c>
      <c r="Q233" s="442">
        <f t="shared" si="70"/>
        <v>0.8998326957089955</v>
      </c>
      <c r="R233" s="442">
        <f t="shared" si="70"/>
        <v>0.8998874214584393</v>
      </c>
      <c r="S233" s="442">
        <f t="shared" si="70"/>
        <v>0.899942147207883</v>
      </c>
      <c r="T233" s="442">
        <f t="shared" si="70"/>
        <v>0.9001200058935754</v>
      </c>
      <c r="U233" s="442">
        <f t="shared" si="70"/>
        <v>0.9002978645792677</v>
      </c>
      <c r="V233" s="442">
        <f t="shared" si="70"/>
        <v>0.9004757232649602</v>
      </c>
      <c r="W233" s="442">
        <f t="shared" si="70"/>
        <v>0.9006535819506525</v>
      </c>
      <c r="X233" s="442">
        <f t="shared" si="70"/>
        <v>0.9008314406363449</v>
      </c>
      <c r="Y233" s="442">
        <f t="shared" si="70"/>
        <v>0.9008861663857888</v>
      </c>
      <c r="Z233" s="442">
        <f t="shared" si="70"/>
        <v>0.9009408921352325</v>
      </c>
      <c r="AA233" s="442">
        <f t="shared" si="70"/>
        <v>0.9009956178846764</v>
      </c>
      <c r="AB233" s="442">
        <f t="shared" si="70"/>
        <v>0.9010503436341202</v>
      </c>
      <c r="AC233" s="442">
        <f t="shared" si="70"/>
        <v>0.9011050693835639</v>
      </c>
      <c r="AD233" s="442">
        <f t="shared" si="70"/>
        <v>0.9011050693835639</v>
      </c>
      <c r="AE233" s="442">
        <f t="shared" si="70"/>
        <v>0.9011050693835639</v>
      </c>
      <c r="AF233" s="442">
        <f t="shared" si="70"/>
        <v>0.9011050693835639</v>
      </c>
      <c r="AG233" s="442">
        <f t="shared" si="70"/>
        <v>0.9011050693835639</v>
      </c>
      <c r="AH233" s="442">
        <f t="shared" si="70"/>
        <v>0.9011050693835639</v>
      </c>
      <c r="AI233" s="442">
        <f t="shared" si="70"/>
        <v>0.9011050693835639</v>
      </c>
      <c r="AJ233" s="442">
        <f t="shared" si="70"/>
        <v>0.9011050693835639</v>
      </c>
      <c r="AK233" s="442">
        <f t="shared" si="70"/>
        <v>0.9011050693835639</v>
      </c>
      <c r="AL233" s="442">
        <f t="shared" si="70"/>
        <v>0.9011050693835639</v>
      </c>
      <c r="AM233" s="442">
        <f t="shared" si="70"/>
        <v>0.9011050693835639</v>
      </c>
      <c r="AN233" s="442">
        <f t="shared" si="70"/>
        <v>0.9011050693835639</v>
      </c>
      <c r="AO233" s="442">
        <f t="shared" si="70"/>
        <v>0.9011050693835639</v>
      </c>
      <c r="AP233" s="442">
        <f t="shared" si="70"/>
        <v>0.9011050693835639</v>
      </c>
      <c r="AQ233" s="442">
        <f t="shared" si="70"/>
        <v>0.9011050693835639</v>
      </c>
      <c r="AR233" s="442">
        <f t="shared" si="70"/>
        <v>0.9011050693835639</v>
      </c>
      <c r="AS233" s="442">
        <f t="shared" si="70"/>
        <v>0.9011050693835639</v>
      </c>
      <c r="AT233" s="442">
        <f t="shared" si="70"/>
        <v>0.9011050693835639</v>
      </c>
      <c r="AU233" s="442">
        <f t="shared" si="70"/>
        <v>0.9011050693835639</v>
      </c>
      <c r="AV233" s="442">
        <f aca="true" t="shared" si="71" ref="AV233:BF233">AU233</f>
        <v>0.9011050693835639</v>
      </c>
      <c r="AW233" s="442">
        <f t="shared" si="71"/>
        <v>0.9011050693835639</v>
      </c>
      <c r="AX233" s="442">
        <f t="shared" si="71"/>
        <v>0.9011050693835639</v>
      </c>
      <c r="AY233" s="442">
        <f t="shared" si="71"/>
        <v>0.9011050693835639</v>
      </c>
      <c r="AZ233" s="442">
        <f t="shared" si="71"/>
        <v>0.9011050693835639</v>
      </c>
      <c r="BA233" s="442">
        <f t="shared" si="71"/>
        <v>0.9011050693835639</v>
      </c>
      <c r="BB233" s="442">
        <f t="shared" si="71"/>
        <v>0.9011050693835639</v>
      </c>
      <c r="BC233" s="442">
        <f t="shared" si="71"/>
        <v>0.9011050693835639</v>
      </c>
      <c r="BD233" s="442">
        <f t="shared" si="71"/>
        <v>0.9011050693835639</v>
      </c>
      <c r="BE233" s="442">
        <f t="shared" si="71"/>
        <v>0.9011050693835639</v>
      </c>
      <c r="BF233" s="442">
        <f t="shared" si="71"/>
        <v>0.9011050693835639</v>
      </c>
    </row>
    <row r="234" spans="1:58" s="108" customFormat="1" ht="12.75">
      <c r="A234" s="441" t="s">
        <v>779</v>
      </c>
      <c r="B234" s="25"/>
      <c r="C234" s="442">
        <v>0.9073898685798578</v>
      </c>
      <c r="D234" s="442">
        <v>0.9022066794529686</v>
      </c>
      <c r="E234" s="442">
        <v>0.9110564087266411</v>
      </c>
      <c r="F234" s="470">
        <v>0.9025385990542181</v>
      </c>
      <c r="G234" s="470">
        <v>0.8973253582166926</v>
      </c>
      <c r="H234" s="470">
        <v>0.8931660681573735</v>
      </c>
      <c r="I234" s="470">
        <v>0.8926313639085579</v>
      </c>
      <c r="J234" s="470">
        <v>0.8934301983177422</v>
      </c>
      <c r="K234" s="442">
        <f aca="true" t="shared" si="72" ref="K234:AU234">J234*K268/J268</f>
        <v>0.896346154261744</v>
      </c>
      <c r="L234" s="442">
        <f t="shared" si="72"/>
        <v>0.899262110205746</v>
      </c>
      <c r="M234" s="442">
        <f t="shared" si="72"/>
        <v>0.9021780661497477</v>
      </c>
      <c r="N234" s="442">
        <f t="shared" si="72"/>
        <v>0.9050940220937497</v>
      </c>
      <c r="O234" s="442">
        <f t="shared" si="72"/>
        <v>0.9054074377666423</v>
      </c>
      <c r="P234" s="442">
        <f t="shared" si="72"/>
        <v>0.905720853439535</v>
      </c>
      <c r="Q234" s="442">
        <f t="shared" si="72"/>
        <v>0.9060342691124277</v>
      </c>
      <c r="R234" s="442">
        <f t="shared" si="72"/>
        <v>0.9063476847853204</v>
      </c>
      <c r="S234" s="442">
        <f t="shared" si="72"/>
        <v>0.906661100458213</v>
      </c>
      <c r="T234" s="442">
        <f t="shared" si="72"/>
        <v>0.9066991864134</v>
      </c>
      <c r="U234" s="442">
        <f t="shared" si="72"/>
        <v>0.9067372723685869</v>
      </c>
      <c r="V234" s="442">
        <f t="shared" si="72"/>
        <v>0.9067753583237738</v>
      </c>
      <c r="W234" s="442">
        <f t="shared" si="72"/>
        <v>0.9068134442789606</v>
      </c>
      <c r="X234" s="442">
        <f t="shared" si="72"/>
        <v>0.9068515302341476</v>
      </c>
      <c r="Y234" s="442">
        <f t="shared" si="72"/>
        <v>0.9069753095885051</v>
      </c>
      <c r="Z234" s="442">
        <f t="shared" si="72"/>
        <v>0.9070990889428628</v>
      </c>
      <c r="AA234" s="442">
        <f t="shared" si="72"/>
        <v>0.9072228682972204</v>
      </c>
      <c r="AB234" s="442">
        <f t="shared" si="72"/>
        <v>0.9073466476515781</v>
      </c>
      <c r="AC234" s="442">
        <f t="shared" si="72"/>
        <v>0.9074704270059357</v>
      </c>
      <c r="AD234" s="442">
        <f t="shared" si="72"/>
        <v>0.9075085129611227</v>
      </c>
      <c r="AE234" s="442">
        <f t="shared" si="72"/>
        <v>0.9075465989163096</v>
      </c>
      <c r="AF234" s="442">
        <f t="shared" si="72"/>
        <v>0.9075846848714966</v>
      </c>
      <c r="AG234" s="442">
        <f t="shared" si="72"/>
        <v>0.9076227708266835</v>
      </c>
      <c r="AH234" s="442">
        <f t="shared" si="72"/>
        <v>0.9076608567818705</v>
      </c>
      <c r="AI234" s="442">
        <f t="shared" si="72"/>
        <v>0.9076608567818705</v>
      </c>
      <c r="AJ234" s="442">
        <f t="shared" si="72"/>
        <v>0.9076608567818705</v>
      </c>
      <c r="AK234" s="442">
        <f t="shared" si="72"/>
        <v>0.9076608567818705</v>
      </c>
      <c r="AL234" s="442">
        <f t="shared" si="72"/>
        <v>0.9076608567818705</v>
      </c>
      <c r="AM234" s="442">
        <f t="shared" si="72"/>
        <v>0.9076608567818705</v>
      </c>
      <c r="AN234" s="442">
        <f t="shared" si="72"/>
        <v>0.9076608567818705</v>
      </c>
      <c r="AO234" s="442">
        <f t="shared" si="72"/>
        <v>0.9076608567818705</v>
      </c>
      <c r="AP234" s="442">
        <f t="shared" si="72"/>
        <v>0.9076608567818705</v>
      </c>
      <c r="AQ234" s="442">
        <f t="shared" si="72"/>
        <v>0.9076608567818705</v>
      </c>
      <c r="AR234" s="442">
        <f t="shared" si="72"/>
        <v>0.9076608567818705</v>
      </c>
      <c r="AS234" s="442">
        <f t="shared" si="72"/>
        <v>0.9076608567818705</v>
      </c>
      <c r="AT234" s="442">
        <f t="shared" si="72"/>
        <v>0.9076608567818705</v>
      </c>
      <c r="AU234" s="442">
        <f t="shared" si="72"/>
        <v>0.9076608567818705</v>
      </c>
      <c r="AV234" s="442">
        <f aca="true" t="shared" si="73" ref="AV234:BF234">AU234</f>
        <v>0.9076608567818705</v>
      </c>
      <c r="AW234" s="442">
        <f t="shared" si="73"/>
        <v>0.9076608567818705</v>
      </c>
      <c r="AX234" s="442">
        <f t="shared" si="73"/>
        <v>0.9076608567818705</v>
      </c>
      <c r="AY234" s="442">
        <f t="shared" si="73"/>
        <v>0.9076608567818705</v>
      </c>
      <c r="AZ234" s="442">
        <f t="shared" si="73"/>
        <v>0.9076608567818705</v>
      </c>
      <c r="BA234" s="442">
        <f t="shared" si="73"/>
        <v>0.9076608567818705</v>
      </c>
      <c r="BB234" s="442">
        <f t="shared" si="73"/>
        <v>0.9076608567818705</v>
      </c>
      <c r="BC234" s="442">
        <f t="shared" si="73"/>
        <v>0.9076608567818705</v>
      </c>
      <c r="BD234" s="442">
        <f t="shared" si="73"/>
        <v>0.9076608567818705</v>
      </c>
      <c r="BE234" s="442">
        <f t="shared" si="73"/>
        <v>0.9076608567818705</v>
      </c>
      <c r="BF234" s="442">
        <f t="shared" si="73"/>
        <v>0.9076608567818705</v>
      </c>
    </row>
    <row r="235" spans="1:58" s="108" customFormat="1" ht="12.75">
      <c r="A235" s="441" t="s">
        <v>780</v>
      </c>
      <c r="B235" s="25"/>
      <c r="C235" s="442">
        <v>0.9195491343379288</v>
      </c>
      <c r="D235" s="442">
        <v>0.916464922556293</v>
      </c>
      <c r="E235" s="442">
        <v>0.9160571751042077</v>
      </c>
      <c r="F235" s="470">
        <v>0.9073188384016895</v>
      </c>
      <c r="G235" s="470">
        <v>0.9022718733881754</v>
      </c>
      <c r="H235" s="470">
        <v>0.8979701446681783</v>
      </c>
      <c r="I235" s="470">
        <v>0.8974384356770861</v>
      </c>
      <c r="J235" s="470">
        <v>0.8986010105315225</v>
      </c>
      <c r="K235" s="442">
        <f aca="true" t="shared" si="74" ref="K235:AU235">J235*K269/J269</f>
        <v>0.9003509638139597</v>
      </c>
      <c r="L235" s="442">
        <f t="shared" si="74"/>
        <v>0.902100917096397</v>
      </c>
      <c r="M235" s="442">
        <f t="shared" si="74"/>
        <v>0.9038508703788342</v>
      </c>
      <c r="N235" s="442">
        <f t="shared" si="74"/>
        <v>0.9056008236612714</v>
      </c>
      <c r="O235" s="442">
        <f t="shared" si="74"/>
        <v>0.9079495653060035</v>
      </c>
      <c r="P235" s="442">
        <f t="shared" si="74"/>
        <v>0.9102983069507354</v>
      </c>
      <c r="Q235" s="442">
        <f t="shared" si="74"/>
        <v>0.9126470485954675</v>
      </c>
      <c r="R235" s="442">
        <f t="shared" si="74"/>
        <v>0.9149957902401995</v>
      </c>
      <c r="S235" s="442">
        <f t="shared" si="74"/>
        <v>0.9173445318849316</v>
      </c>
      <c r="T235" s="442">
        <f t="shared" si="74"/>
        <v>0.9175969816671545</v>
      </c>
      <c r="U235" s="442">
        <f t="shared" si="74"/>
        <v>0.9178494314493775</v>
      </c>
      <c r="V235" s="442">
        <f t="shared" si="74"/>
        <v>0.9181018812316003</v>
      </c>
      <c r="W235" s="442">
        <f t="shared" si="74"/>
        <v>0.9183543310138232</v>
      </c>
      <c r="X235" s="442">
        <f t="shared" si="74"/>
        <v>0.9186067807960461</v>
      </c>
      <c r="Y235" s="442">
        <f t="shared" si="74"/>
        <v>0.9186374582379365</v>
      </c>
      <c r="Z235" s="442">
        <f t="shared" si="74"/>
        <v>0.918668135679827</v>
      </c>
      <c r="AA235" s="442">
        <f t="shared" si="74"/>
        <v>0.9186988131217172</v>
      </c>
      <c r="AB235" s="442">
        <f t="shared" si="74"/>
        <v>0.9187294905636075</v>
      </c>
      <c r="AC235" s="442">
        <f t="shared" si="74"/>
        <v>0.918760168005498</v>
      </c>
      <c r="AD235" s="442">
        <f t="shared" si="74"/>
        <v>0.9188598696916417</v>
      </c>
      <c r="AE235" s="442">
        <f t="shared" si="74"/>
        <v>0.9189595713777854</v>
      </c>
      <c r="AF235" s="442">
        <f t="shared" si="74"/>
        <v>0.9190592730639291</v>
      </c>
      <c r="AG235" s="442">
        <f t="shared" si="74"/>
        <v>0.9191589747500728</v>
      </c>
      <c r="AH235" s="442">
        <f t="shared" si="74"/>
        <v>0.9192586764362166</v>
      </c>
      <c r="AI235" s="442">
        <f t="shared" si="74"/>
        <v>0.9192893538781071</v>
      </c>
      <c r="AJ235" s="442">
        <f t="shared" si="74"/>
        <v>0.9193200313199975</v>
      </c>
      <c r="AK235" s="442">
        <f t="shared" si="74"/>
        <v>0.9193507087618878</v>
      </c>
      <c r="AL235" s="442">
        <f t="shared" si="74"/>
        <v>0.9193813862037783</v>
      </c>
      <c r="AM235" s="442">
        <f t="shared" si="74"/>
        <v>0.9194120636456686</v>
      </c>
      <c r="AN235" s="442">
        <f t="shared" si="74"/>
        <v>0.9194120636456686</v>
      </c>
      <c r="AO235" s="442">
        <f t="shared" si="74"/>
        <v>0.9194120636456686</v>
      </c>
      <c r="AP235" s="442">
        <f t="shared" si="74"/>
        <v>0.9194120636456686</v>
      </c>
      <c r="AQ235" s="442">
        <f t="shared" si="74"/>
        <v>0.9194120636456686</v>
      </c>
      <c r="AR235" s="442">
        <f t="shared" si="74"/>
        <v>0.9194120636456686</v>
      </c>
      <c r="AS235" s="442">
        <f t="shared" si="74"/>
        <v>0.9194120636456686</v>
      </c>
      <c r="AT235" s="442">
        <f t="shared" si="74"/>
        <v>0.9194120636456686</v>
      </c>
      <c r="AU235" s="442">
        <f t="shared" si="74"/>
        <v>0.9194120636456686</v>
      </c>
      <c r="AV235" s="442">
        <f aca="true" t="shared" si="75" ref="AV235:BF235">AU235</f>
        <v>0.9194120636456686</v>
      </c>
      <c r="AW235" s="442">
        <f t="shared" si="75"/>
        <v>0.9194120636456686</v>
      </c>
      <c r="AX235" s="442">
        <f t="shared" si="75"/>
        <v>0.9194120636456686</v>
      </c>
      <c r="AY235" s="442">
        <f t="shared" si="75"/>
        <v>0.9194120636456686</v>
      </c>
      <c r="AZ235" s="442">
        <f t="shared" si="75"/>
        <v>0.9194120636456686</v>
      </c>
      <c r="BA235" s="442">
        <f t="shared" si="75"/>
        <v>0.9194120636456686</v>
      </c>
      <c r="BB235" s="442">
        <f t="shared" si="75"/>
        <v>0.9194120636456686</v>
      </c>
      <c r="BC235" s="442">
        <f t="shared" si="75"/>
        <v>0.9194120636456686</v>
      </c>
      <c r="BD235" s="442">
        <f t="shared" si="75"/>
        <v>0.9194120636456686</v>
      </c>
      <c r="BE235" s="442">
        <f t="shared" si="75"/>
        <v>0.9194120636456686</v>
      </c>
      <c r="BF235" s="442">
        <f t="shared" si="75"/>
        <v>0.9194120636456686</v>
      </c>
    </row>
    <row r="236" spans="1:58" s="108" customFormat="1" ht="12.75">
      <c r="A236" s="441" t="s">
        <v>781</v>
      </c>
      <c r="B236" s="25"/>
      <c r="C236" s="442">
        <v>0.9052594387070814</v>
      </c>
      <c r="D236" s="442">
        <v>0.9050314261832961</v>
      </c>
      <c r="E236" s="442">
        <v>0.9056289251703105</v>
      </c>
      <c r="F236" s="470">
        <v>0.8972152430778616</v>
      </c>
      <c r="G236" s="470">
        <v>0.8909091403023958</v>
      </c>
      <c r="H236" s="470">
        <v>0.8855640274150425</v>
      </c>
      <c r="I236" s="470">
        <v>0.8842364256747106</v>
      </c>
      <c r="J236" s="470">
        <v>0.8844635271272259</v>
      </c>
      <c r="K236" s="442">
        <f aca="true" t="shared" si="76" ref="K236:AU236">J236*K270/J270</f>
        <v>0.8867150252870745</v>
      </c>
      <c r="L236" s="442">
        <f t="shared" si="76"/>
        <v>0.8889665234469232</v>
      </c>
      <c r="M236" s="442">
        <f t="shared" si="76"/>
        <v>0.8912180216067719</v>
      </c>
      <c r="N236" s="442">
        <f t="shared" si="76"/>
        <v>0.8934695197666206</v>
      </c>
      <c r="O236" s="442">
        <f t="shared" si="76"/>
        <v>0.8948504386379945</v>
      </c>
      <c r="P236" s="442">
        <f t="shared" si="76"/>
        <v>0.8962313575093683</v>
      </c>
      <c r="Q236" s="442">
        <f t="shared" si="76"/>
        <v>0.8976122763807423</v>
      </c>
      <c r="R236" s="442">
        <f t="shared" si="76"/>
        <v>0.898993195252116</v>
      </c>
      <c r="S236" s="442">
        <f t="shared" si="76"/>
        <v>0.9003741141234898</v>
      </c>
      <c r="T236" s="442">
        <f t="shared" si="76"/>
        <v>0.9022275474086773</v>
      </c>
      <c r="U236" s="442">
        <f t="shared" si="76"/>
        <v>0.9040809806938648</v>
      </c>
      <c r="V236" s="442">
        <f t="shared" si="76"/>
        <v>0.9059344139790522</v>
      </c>
      <c r="W236" s="442">
        <f t="shared" si="76"/>
        <v>0.9077878472642397</v>
      </c>
      <c r="X236" s="442">
        <f t="shared" si="76"/>
        <v>0.9096412805494271</v>
      </c>
      <c r="Y236" s="442">
        <f t="shared" si="76"/>
        <v>0.9098404931066105</v>
      </c>
      <c r="Z236" s="442">
        <f t="shared" si="76"/>
        <v>0.910039705663794</v>
      </c>
      <c r="AA236" s="442">
        <f t="shared" si="76"/>
        <v>0.9102389182209774</v>
      </c>
      <c r="AB236" s="442">
        <f t="shared" si="76"/>
        <v>0.9104381307781607</v>
      </c>
      <c r="AC236" s="442">
        <f t="shared" si="76"/>
        <v>0.9106373433353442</v>
      </c>
      <c r="AD236" s="442">
        <f t="shared" si="76"/>
        <v>0.910661551443559</v>
      </c>
      <c r="AE236" s="442">
        <f t="shared" si="76"/>
        <v>0.9106857595517737</v>
      </c>
      <c r="AF236" s="442">
        <f t="shared" si="76"/>
        <v>0.9107099676599884</v>
      </c>
      <c r="AG236" s="442">
        <f t="shared" si="76"/>
        <v>0.9107341757682029</v>
      </c>
      <c r="AH236" s="442">
        <f t="shared" si="76"/>
        <v>0.9107583838764177</v>
      </c>
      <c r="AI236" s="442">
        <f t="shared" si="76"/>
        <v>0.9108370602281154</v>
      </c>
      <c r="AJ236" s="442">
        <f t="shared" si="76"/>
        <v>0.9109157365798133</v>
      </c>
      <c r="AK236" s="442">
        <f t="shared" si="76"/>
        <v>0.910994412931511</v>
      </c>
      <c r="AL236" s="442">
        <f t="shared" si="76"/>
        <v>0.9110730892832087</v>
      </c>
      <c r="AM236" s="442">
        <f t="shared" si="76"/>
        <v>0.9111517656349065</v>
      </c>
      <c r="AN236" s="442">
        <f t="shared" si="76"/>
        <v>0.9111759737431212</v>
      </c>
      <c r="AO236" s="442">
        <f t="shared" si="76"/>
        <v>0.9112001818513358</v>
      </c>
      <c r="AP236" s="442">
        <f t="shared" si="76"/>
        <v>0.9112243899595505</v>
      </c>
      <c r="AQ236" s="442">
        <f t="shared" si="76"/>
        <v>0.911248598067765</v>
      </c>
      <c r="AR236" s="442">
        <f t="shared" si="76"/>
        <v>0.9112728061759798</v>
      </c>
      <c r="AS236" s="442">
        <f t="shared" si="76"/>
        <v>0.9112728061759798</v>
      </c>
      <c r="AT236" s="442">
        <f t="shared" si="76"/>
        <v>0.9112728061759798</v>
      </c>
      <c r="AU236" s="442">
        <f t="shared" si="76"/>
        <v>0.9112728061759798</v>
      </c>
      <c r="AV236" s="442">
        <f aca="true" t="shared" si="77" ref="AV236:BF236">AU236</f>
        <v>0.9112728061759798</v>
      </c>
      <c r="AW236" s="442">
        <f t="shared" si="77"/>
        <v>0.9112728061759798</v>
      </c>
      <c r="AX236" s="442">
        <f t="shared" si="77"/>
        <v>0.9112728061759798</v>
      </c>
      <c r="AY236" s="442">
        <f t="shared" si="77"/>
        <v>0.9112728061759798</v>
      </c>
      <c r="AZ236" s="442">
        <f t="shared" si="77"/>
        <v>0.9112728061759798</v>
      </c>
      <c r="BA236" s="442">
        <f t="shared" si="77"/>
        <v>0.9112728061759798</v>
      </c>
      <c r="BB236" s="442">
        <f t="shared" si="77"/>
        <v>0.9112728061759798</v>
      </c>
      <c r="BC236" s="442">
        <f t="shared" si="77"/>
        <v>0.9112728061759798</v>
      </c>
      <c r="BD236" s="442">
        <f t="shared" si="77"/>
        <v>0.9112728061759798</v>
      </c>
      <c r="BE236" s="442">
        <f t="shared" si="77"/>
        <v>0.9112728061759798</v>
      </c>
      <c r="BF236" s="442">
        <f t="shared" si="77"/>
        <v>0.9112728061759798</v>
      </c>
    </row>
    <row r="237" spans="1:58" s="108" customFormat="1" ht="12.75">
      <c r="A237" s="441" t="s">
        <v>782</v>
      </c>
      <c r="B237" s="25"/>
      <c r="C237" s="442">
        <v>0.8967010120834296</v>
      </c>
      <c r="D237" s="442">
        <v>0.8885757256730334</v>
      </c>
      <c r="E237" s="442">
        <v>0.8967272620305426</v>
      </c>
      <c r="F237" s="470">
        <v>0.8895943016537335</v>
      </c>
      <c r="G237" s="470">
        <v>0.8854149214070148</v>
      </c>
      <c r="H237" s="470">
        <v>0.881802205829315</v>
      </c>
      <c r="I237" s="470">
        <v>0.8817492405366538</v>
      </c>
      <c r="J237" s="470">
        <v>0.8832824675050355</v>
      </c>
      <c r="K237" s="442">
        <f aca="true" t="shared" si="78" ref="K237:AU237">J237*K271/J271</f>
        <v>0.8851102489116108</v>
      </c>
      <c r="L237" s="442">
        <f t="shared" si="78"/>
        <v>0.8869380303181862</v>
      </c>
      <c r="M237" s="442">
        <f t="shared" si="78"/>
        <v>0.8887658117247617</v>
      </c>
      <c r="N237" s="442">
        <f t="shared" si="78"/>
        <v>0.890593593131337</v>
      </c>
      <c r="O237" s="442">
        <f t="shared" si="78"/>
        <v>0.8928664819270784</v>
      </c>
      <c r="P237" s="442">
        <f t="shared" si="78"/>
        <v>0.8951393707228198</v>
      </c>
      <c r="Q237" s="442">
        <f t="shared" si="78"/>
        <v>0.8974122595185613</v>
      </c>
      <c r="R237" s="442">
        <f t="shared" si="78"/>
        <v>0.8996851483143027</v>
      </c>
      <c r="S237" s="442">
        <f t="shared" si="78"/>
        <v>0.9019580371100441</v>
      </c>
      <c r="T237" s="442">
        <f t="shared" si="78"/>
        <v>0.903352075571432</v>
      </c>
      <c r="U237" s="442">
        <f t="shared" si="78"/>
        <v>0.90474611403282</v>
      </c>
      <c r="V237" s="442">
        <f t="shared" si="78"/>
        <v>0.9061401524942081</v>
      </c>
      <c r="W237" s="442">
        <f t="shared" si="78"/>
        <v>0.9075341909555961</v>
      </c>
      <c r="X237" s="442">
        <f t="shared" si="78"/>
        <v>0.9089282294169841</v>
      </c>
      <c r="Y237" s="442">
        <f t="shared" si="78"/>
        <v>0.9107992714736385</v>
      </c>
      <c r="Z237" s="442">
        <f t="shared" si="78"/>
        <v>0.9126703135302927</v>
      </c>
      <c r="AA237" s="442">
        <f t="shared" si="78"/>
        <v>0.914541355586947</v>
      </c>
      <c r="AB237" s="442">
        <f t="shared" si="78"/>
        <v>0.9164123976436014</v>
      </c>
      <c r="AC237" s="442">
        <f t="shared" si="78"/>
        <v>0.9182834397002557</v>
      </c>
      <c r="AD237" s="442">
        <f t="shared" si="78"/>
        <v>0.9184845449009029</v>
      </c>
      <c r="AE237" s="442">
        <f t="shared" si="78"/>
        <v>0.9186856501015502</v>
      </c>
      <c r="AF237" s="442">
        <f t="shared" si="78"/>
        <v>0.9188867553021974</v>
      </c>
      <c r="AG237" s="442">
        <f t="shared" si="78"/>
        <v>0.9190878605028446</v>
      </c>
      <c r="AH237" s="442">
        <f t="shared" si="78"/>
        <v>0.9192889657034918</v>
      </c>
      <c r="AI237" s="442">
        <f t="shared" si="78"/>
        <v>0.9193134038038235</v>
      </c>
      <c r="AJ237" s="442">
        <f t="shared" si="78"/>
        <v>0.9193378419041552</v>
      </c>
      <c r="AK237" s="442">
        <f t="shared" si="78"/>
        <v>0.919362280004487</v>
      </c>
      <c r="AL237" s="442">
        <f t="shared" si="78"/>
        <v>0.9193867181048188</v>
      </c>
      <c r="AM237" s="442">
        <f t="shared" si="78"/>
        <v>0.9194111562051505</v>
      </c>
      <c r="AN237" s="442">
        <f t="shared" si="78"/>
        <v>0.9194905800312289</v>
      </c>
      <c r="AO237" s="442">
        <f t="shared" si="78"/>
        <v>0.9195700038573072</v>
      </c>
      <c r="AP237" s="442">
        <f t="shared" si="78"/>
        <v>0.9196494276833856</v>
      </c>
      <c r="AQ237" s="442">
        <f t="shared" si="78"/>
        <v>0.919728851509464</v>
      </c>
      <c r="AR237" s="442">
        <f t="shared" si="78"/>
        <v>0.9198082753355423</v>
      </c>
      <c r="AS237" s="442">
        <f t="shared" si="78"/>
        <v>0.9198327134358741</v>
      </c>
      <c r="AT237" s="442">
        <f t="shared" si="78"/>
        <v>0.919857151536206</v>
      </c>
      <c r="AU237" s="442">
        <f t="shared" si="78"/>
        <v>0.9198815896365378</v>
      </c>
      <c r="AV237" s="442">
        <f aca="true" t="shared" si="79" ref="AV237:BF237">AU237</f>
        <v>0.9198815896365378</v>
      </c>
      <c r="AW237" s="442">
        <f t="shared" si="79"/>
        <v>0.9198815896365378</v>
      </c>
      <c r="AX237" s="442">
        <f t="shared" si="79"/>
        <v>0.9198815896365378</v>
      </c>
      <c r="AY237" s="442">
        <f t="shared" si="79"/>
        <v>0.9198815896365378</v>
      </c>
      <c r="AZ237" s="442">
        <f t="shared" si="79"/>
        <v>0.9198815896365378</v>
      </c>
      <c r="BA237" s="442">
        <f t="shared" si="79"/>
        <v>0.9198815896365378</v>
      </c>
      <c r="BB237" s="442">
        <f t="shared" si="79"/>
        <v>0.9198815896365378</v>
      </c>
      <c r="BC237" s="442">
        <f t="shared" si="79"/>
        <v>0.9198815896365378</v>
      </c>
      <c r="BD237" s="442">
        <f t="shared" si="79"/>
        <v>0.9198815896365378</v>
      </c>
      <c r="BE237" s="442">
        <f t="shared" si="79"/>
        <v>0.9198815896365378</v>
      </c>
      <c r="BF237" s="442">
        <f t="shared" si="79"/>
        <v>0.9198815896365378</v>
      </c>
    </row>
    <row r="238" spans="1:58" s="108" customFormat="1" ht="12.75">
      <c r="A238" s="441" t="s">
        <v>783</v>
      </c>
      <c r="B238" s="25"/>
      <c r="C238" s="442">
        <v>0.846800258161226</v>
      </c>
      <c r="D238" s="442">
        <v>0.8652697384858833</v>
      </c>
      <c r="E238" s="442">
        <v>0.8584416283847186</v>
      </c>
      <c r="F238" s="470">
        <v>0.8621643362671731</v>
      </c>
      <c r="G238" s="470">
        <v>0.8633761341800656</v>
      </c>
      <c r="H238" s="470">
        <v>0.8650477180224928</v>
      </c>
      <c r="I238" s="470">
        <v>0.8697901611015691</v>
      </c>
      <c r="J238" s="470">
        <v>0.8758883871953785</v>
      </c>
      <c r="K238" s="442">
        <f aca="true" t="shared" si="80" ref="K238:AU238">J238*K272/J272</f>
        <v>0.8759623523289116</v>
      </c>
      <c r="L238" s="442">
        <f t="shared" si="80"/>
        <v>0.8760363174624447</v>
      </c>
      <c r="M238" s="442">
        <f t="shared" si="80"/>
        <v>0.8761102825959778</v>
      </c>
      <c r="N238" s="442">
        <f t="shared" si="80"/>
        <v>0.8761842477295109</v>
      </c>
      <c r="O238" s="442">
        <f t="shared" si="80"/>
        <v>0.8780011003732046</v>
      </c>
      <c r="P238" s="442">
        <f t="shared" si="80"/>
        <v>0.8798179530168982</v>
      </c>
      <c r="Q238" s="442">
        <f t="shared" si="80"/>
        <v>0.881634805660592</v>
      </c>
      <c r="R238" s="442">
        <f t="shared" si="80"/>
        <v>0.8834516583042857</v>
      </c>
      <c r="S238" s="442">
        <f t="shared" si="80"/>
        <v>0.8852685109479794</v>
      </c>
      <c r="T238" s="442">
        <f t="shared" si="80"/>
        <v>0.8875278095722618</v>
      </c>
      <c r="U238" s="442">
        <f t="shared" si="80"/>
        <v>0.8897871081965444</v>
      </c>
      <c r="V238" s="442">
        <f t="shared" si="80"/>
        <v>0.8920464068208267</v>
      </c>
      <c r="W238" s="442">
        <f t="shared" si="80"/>
        <v>0.8943057054451091</v>
      </c>
      <c r="X238" s="442">
        <f t="shared" si="80"/>
        <v>0.8965650040693915</v>
      </c>
      <c r="Y238" s="442">
        <f t="shared" si="80"/>
        <v>0.897950707225618</v>
      </c>
      <c r="Z238" s="442">
        <f t="shared" si="80"/>
        <v>0.8993364103818445</v>
      </c>
      <c r="AA238" s="442">
        <f t="shared" si="80"/>
        <v>0.900722113538071</v>
      </c>
      <c r="AB238" s="442">
        <f t="shared" si="80"/>
        <v>0.9021078166942975</v>
      </c>
      <c r="AC238" s="442">
        <f t="shared" si="80"/>
        <v>0.903493519850524</v>
      </c>
      <c r="AD238" s="442">
        <f t="shared" si="80"/>
        <v>0.9053533744780333</v>
      </c>
      <c r="AE238" s="442">
        <f t="shared" si="80"/>
        <v>0.9072132291055425</v>
      </c>
      <c r="AF238" s="442">
        <f t="shared" si="80"/>
        <v>0.9090730837330518</v>
      </c>
      <c r="AG238" s="442">
        <f t="shared" si="80"/>
        <v>0.9109329383605611</v>
      </c>
      <c r="AH238" s="442">
        <f t="shared" si="80"/>
        <v>0.9127927929880705</v>
      </c>
      <c r="AI238" s="442">
        <f t="shared" si="80"/>
        <v>0.9129926957303469</v>
      </c>
      <c r="AJ238" s="442">
        <f t="shared" si="80"/>
        <v>0.9131925984726235</v>
      </c>
      <c r="AK238" s="442">
        <f t="shared" si="80"/>
        <v>0.9133925012149</v>
      </c>
      <c r="AL238" s="442">
        <f t="shared" si="80"/>
        <v>0.9135924039571766</v>
      </c>
      <c r="AM238" s="442">
        <f t="shared" si="80"/>
        <v>0.913792306699453</v>
      </c>
      <c r="AN238" s="442">
        <f t="shared" si="80"/>
        <v>0.9138165986782611</v>
      </c>
      <c r="AO238" s="442">
        <f t="shared" si="80"/>
        <v>0.9138408906570694</v>
      </c>
      <c r="AP238" s="442">
        <f t="shared" si="80"/>
        <v>0.9138651826358777</v>
      </c>
      <c r="AQ238" s="442">
        <f t="shared" si="80"/>
        <v>0.913889474614686</v>
      </c>
      <c r="AR238" s="442">
        <f t="shared" si="80"/>
        <v>0.9139137665934941</v>
      </c>
      <c r="AS238" s="442">
        <f t="shared" si="80"/>
        <v>0.913992715524621</v>
      </c>
      <c r="AT238" s="442">
        <f t="shared" si="80"/>
        <v>0.9140716644557481</v>
      </c>
      <c r="AU238" s="442">
        <f t="shared" si="80"/>
        <v>0.9141506133868749</v>
      </c>
      <c r="AV238" s="442">
        <f aca="true" t="shared" si="81" ref="AV238:BF238">AU238</f>
        <v>0.9141506133868749</v>
      </c>
      <c r="AW238" s="442">
        <f t="shared" si="81"/>
        <v>0.9141506133868749</v>
      </c>
      <c r="AX238" s="442">
        <f t="shared" si="81"/>
        <v>0.9141506133868749</v>
      </c>
      <c r="AY238" s="442">
        <f t="shared" si="81"/>
        <v>0.9141506133868749</v>
      </c>
      <c r="AZ238" s="442">
        <f t="shared" si="81"/>
        <v>0.9141506133868749</v>
      </c>
      <c r="BA238" s="442">
        <f t="shared" si="81"/>
        <v>0.9141506133868749</v>
      </c>
      <c r="BB238" s="442">
        <f t="shared" si="81"/>
        <v>0.9141506133868749</v>
      </c>
      <c r="BC238" s="442">
        <f t="shared" si="81"/>
        <v>0.9141506133868749</v>
      </c>
      <c r="BD238" s="442">
        <f t="shared" si="81"/>
        <v>0.9141506133868749</v>
      </c>
      <c r="BE238" s="442">
        <f t="shared" si="81"/>
        <v>0.9141506133868749</v>
      </c>
      <c r="BF238" s="442">
        <f t="shared" si="81"/>
        <v>0.9141506133868749</v>
      </c>
    </row>
    <row r="239" spans="1:58" s="108" customFormat="1" ht="12.75">
      <c r="A239" s="441" t="s">
        <v>784</v>
      </c>
      <c r="B239" s="25"/>
      <c r="C239" s="442">
        <v>0.709411860718172</v>
      </c>
      <c r="D239" s="442">
        <v>0.7205184118494139</v>
      </c>
      <c r="E239" s="442">
        <v>0.7592335463429845</v>
      </c>
      <c r="F239" s="470">
        <v>0.7611455728968461</v>
      </c>
      <c r="G239" s="470">
        <v>0.7785705944007534</v>
      </c>
      <c r="H239" s="470">
        <v>0.796423138397951</v>
      </c>
      <c r="I239" s="470">
        <v>0.817344430713322</v>
      </c>
      <c r="J239" s="470">
        <v>0.8394337660474624</v>
      </c>
      <c r="K239" s="442">
        <f aca="true" t="shared" si="82" ref="K239:AU239">J239*K273/J273</f>
        <v>0.8417168606294133</v>
      </c>
      <c r="L239" s="442">
        <f t="shared" si="82"/>
        <v>0.8439999552113642</v>
      </c>
      <c r="M239" s="442">
        <f t="shared" si="82"/>
        <v>0.846283049793315</v>
      </c>
      <c r="N239" s="442">
        <f t="shared" si="82"/>
        <v>0.8485661443752659</v>
      </c>
      <c r="O239" s="442">
        <f t="shared" si="82"/>
        <v>0.8486378083106834</v>
      </c>
      <c r="P239" s="442">
        <f t="shared" si="82"/>
        <v>0.8487094722461009</v>
      </c>
      <c r="Q239" s="442">
        <f t="shared" si="82"/>
        <v>0.8487811361815185</v>
      </c>
      <c r="R239" s="442">
        <f t="shared" si="82"/>
        <v>0.848852800116936</v>
      </c>
      <c r="S239" s="442">
        <f t="shared" si="82"/>
        <v>0.8489244640523536</v>
      </c>
      <c r="T239" s="442">
        <f t="shared" si="82"/>
        <v>0.8506847909023358</v>
      </c>
      <c r="U239" s="442">
        <f t="shared" si="82"/>
        <v>0.852445117752318</v>
      </c>
      <c r="V239" s="442">
        <f t="shared" si="82"/>
        <v>0.8542054446023003</v>
      </c>
      <c r="W239" s="442">
        <f t="shared" si="82"/>
        <v>0.8559657714522826</v>
      </c>
      <c r="X239" s="442">
        <f t="shared" si="82"/>
        <v>0.8577260983022649</v>
      </c>
      <c r="Y239" s="442">
        <f t="shared" si="82"/>
        <v>0.8599151057841082</v>
      </c>
      <c r="Z239" s="442">
        <f t="shared" si="82"/>
        <v>0.8621041132659516</v>
      </c>
      <c r="AA239" s="442">
        <f t="shared" si="82"/>
        <v>0.8642931207477949</v>
      </c>
      <c r="AB239" s="442">
        <f t="shared" si="82"/>
        <v>0.8664821282296382</v>
      </c>
      <c r="AC239" s="442">
        <f t="shared" si="82"/>
        <v>0.8686711357114816</v>
      </c>
      <c r="AD239" s="442">
        <f t="shared" si="82"/>
        <v>0.8700137269670122</v>
      </c>
      <c r="AE239" s="442">
        <f t="shared" si="82"/>
        <v>0.8713563182225428</v>
      </c>
      <c r="AF239" s="442">
        <f t="shared" si="82"/>
        <v>0.8726989094780733</v>
      </c>
      <c r="AG239" s="442">
        <f t="shared" si="82"/>
        <v>0.8740415007336039</v>
      </c>
      <c r="AH239" s="442">
        <f t="shared" si="82"/>
        <v>0.8753840919891344</v>
      </c>
      <c r="AI239" s="442">
        <f t="shared" si="82"/>
        <v>0.8771860829481878</v>
      </c>
      <c r="AJ239" s="442">
        <f t="shared" si="82"/>
        <v>0.8789880739072411</v>
      </c>
      <c r="AK239" s="442">
        <f t="shared" si="82"/>
        <v>0.8807900648662945</v>
      </c>
      <c r="AL239" s="442">
        <f t="shared" si="82"/>
        <v>0.8825920558253479</v>
      </c>
      <c r="AM239" s="442">
        <f t="shared" si="82"/>
        <v>0.8843940467844015</v>
      </c>
      <c r="AN239" s="442">
        <f t="shared" si="82"/>
        <v>0.8845877301663949</v>
      </c>
      <c r="AO239" s="442">
        <f t="shared" si="82"/>
        <v>0.8847814135483884</v>
      </c>
      <c r="AP239" s="442">
        <f t="shared" si="82"/>
        <v>0.8849750969303819</v>
      </c>
      <c r="AQ239" s="442">
        <f t="shared" si="82"/>
        <v>0.8851687803123753</v>
      </c>
      <c r="AR239" s="442">
        <f t="shared" si="82"/>
        <v>0.8853624636943688</v>
      </c>
      <c r="AS239" s="442">
        <f t="shared" si="82"/>
        <v>0.8853859999028135</v>
      </c>
      <c r="AT239" s="442">
        <f t="shared" si="82"/>
        <v>0.8854095361112583</v>
      </c>
      <c r="AU239" s="442">
        <f t="shared" si="82"/>
        <v>0.885433072319703</v>
      </c>
      <c r="AV239" s="442">
        <f aca="true" t="shared" si="83" ref="AV239:BF239">AU239</f>
        <v>0.885433072319703</v>
      </c>
      <c r="AW239" s="442">
        <f t="shared" si="83"/>
        <v>0.885433072319703</v>
      </c>
      <c r="AX239" s="442">
        <f t="shared" si="83"/>
        <v>0.885433072319703</v>
      </c>
      <c r="AY239" s="442">
        <f t="shared" si="83"/>
        <v>0.885433072319703</v>
      </c>
      <c r="AZ239" s="442">
        <f t="shared" si="83"/>
        <v>0.885433072319703</v>
      </c>
      <c r="BA239" s="442">
        <f t="shared" si="83"/>
        <v>0.885433072319703</v>
      </c>
      <c r="BB239" s="442">
        <f t="shared" si="83"/>
        <v>0.885433072319703</v>
      </c>
      <c r="BC239" s="442">
        <f t="shared" si="83"/>
        <v>0.885433072319703</v>
      </c>
      <c r="BD239" s="442">
        <f t="shared" si="83"/>
        <v>0.885433072319703</v>
      </c>
      <c r="BE239" s="442">
        <f t="shared" si="83"/>
        <v>0.885433072319703</v>
      </c>
      <c r="BF239" s="442">
        <f t="shared" si="83"/>
        <v>0.885433072319703</v>
      </c>
    </row>
    <row r="240" spans="1:58" s="108" customFormat="1" ht="12.75">
      <c r="A240" s="441" t="s">
        <v>627</v>
      </c>
      <c r="B240" s="25"/>
      <c r="C240" s="442">
        <v>0.15475608757370604</v>
      </c>
      <c r="D240" s="442">
        <v>0.18061518158783785</v>
      </c>
      <c r="E240" s="442">
        <v>0.17649202609290968</v>
      </c>
      <c r="F240" s="470">
        <v>0.18052114416822218</v>
      </c>
      <c r="G240" s="470">
        <v>0.17876573765016868</v>
      </c>
      <c r="H240" s="470">
        <v>0.1778476517631032</v>
      </c>
      <c r="I240" s="470">
        <v>0.18306707023704835</v>
      </c>
      <c r="J240" s="470">
        <v>0.19125726796307974</v>
      </c>
      <c r="K240" s="442">
        <f aca="true" t="shared" si="84" ref="K240:AU240">J240*K274/J274</f>
        <v>0.195089267304904</v>
      </c>
      <c r="L240" s="442">
        <f t="shared" si="84"/>
        <v>0.1989212666467282</v>
      </c>
      <c r="M240" s="442">
        <f t="shared" si="84"/>
        <v>0.20275326598855245</v>
      </c>
      <c r="N240" s="442">
        <f t="shared" si="84"/>
        <v>0.20658526533037666</v>
      </c>
      <c r="O240" s="442">
        <f t="shared" si="84"/>
        <v>0.20714866892791658</v>
      </c>
      <c r="P240" s="442">
        <f t="shared" si="84"/>
        <v>0.20771207252545656</v>
      </c>
      <c r="Q240" s="442">
        <f t="shared" si="84"/>
        <v>0.20827547612299652</v>
      </c>
      <c r="R240" s="442">
        <f t="shared" si="84"/>
        <v>0.2088388797205365</v>
      </c>
      <c r="S240" s="442">
        <f t="shared" si="84"/>
        <v>0.20940228331807645</v>
      </c>
      <c r="T240" s="442">
        <f t="shared" si="84"/>
        <v>0.2094199679638845</v>
      </c>
      <c r="U240" s="442">
        <f t="shared" si="84"/>
        <v>0.20943765260969258</v>
      </c>
      <c r="V240" s="442">
        <f t="shared" si="84"/>
        <v>0.20945533725550064</v>
      </c>
      <c r="W240" s="442">
        <f t="shared" si="84"/>
        <v>0.20947302190130873</v>
      </c>
      <c r="X240" s="442">
        <f t="shared" si="84"/>
        <v>0.20949070654711682</v>
      </c>
      <c r="Y240" s="442">
        <f t="shared" si="84"/>
        <v>0.2099251057559655</v>
      </c>
      <c r="Z240" s="442">
        <f t="shared" si="84"/>
        <v>0.2103595049648142</v>
      </c>
      <c r="AA240" s="442">
        <f t="shared" si="84"/>
        <v>0.21079390417366292</v>
      </c>
      <c r="AB240" s="442">
        <f t="shared" si="84"/>
        <v>0.2112283033825116</v>
      </c>
      <c r="AC240" s="442">
        <f t="shared" si="84"/>
        <v>0.2116627025913603</v>
      </c>
      <c r="AD240" s="442">
        <f t="shared" si="84"/>
        <v>0.21220288813604263</v>
      </c>
      <c r="AE240" s="442">
        <f t="shared" si="84"/>
        <v>0.21274307368072495</v>
      </c>
      <c r="AF240" s="442">
        <f t="shared" si="84"/>
        <v>0.2132832592254073</v>
      </c>
      <c r="AG240" s="442">
        <f t="shared" si="84"/>
        <v>0.21382344477008963</v>
      </c>
      <c r="AH240" s="442">
        <f t="shared" si="84"/>
        <v>0.21436363031477199</v>
      </c>
      <c r="AI240" s="442">
        <f t="shared" si="84"/>
        <v>0.2146949441155105</v>
      </c>
      <c r="AJ240" s="442">
        <f t="shared" si="84"/>
        <v>0.21502625791624896</v>
      </c>
      <c r="AK240" s="442">
        <f t="shared" si="84"/>
        <v>0.2153575717169874</v>
      </c>
      <c r="AL240" s="442">
        <f t="shared" si="84"/>
        <v>0.21568888551772594</v>
      </c>
      <c r="AM240" s="442">
        <f t="shared" si="84"/>
        <v>0.21602019931846442</v>
      </c>
      <c r="AN240" s="442">
        <f t="shared" si="84"/>
        <v>0.21646488005884693</v>
      </c>
      <c r="AO240" s="442">
        <f t="shared" si="84"/>
        <v>0.21690956079922943</v>
      </c>
      <c r="AP240" s="442">
        <f t="shared" si="84"/>
        <v>0.21735424153961191</v>
      </c>
      <c r="AQ240" s="442">
        <f t="shared" si="84"/>
        <v>0.21779892227999442</v>
      </c>
      <c r="AR240" s="442">
        <f t="shared" si="84"/>
        <v>0.21824360302037693</v>
      </c>
      <c r="AS240" s="442">
        <f t="shared" si="84"/>
        <v>0.21829139863737043</v>
      </c>
      <c r="AT240" s="442">
        <f t="shared" si="84"/>
        <v>0.21833919425436396</v>
      </c>
      <c r="AU240" s="442">
        <f t="shared" si="84"/>
        <v>0.21838698987135746</v>
      </c>
      <c r="AV240" s="442">
        <f aca="true" t="shared" si="85" ref="AV240:BF240">AU240</f>
        <v>0.21838698987135746</v>
      </c>
      <c r="AW240" s="442">
        <f t="shared" si="85"/>
        <v>0.21838698987135746</v>
      </c>
      <c r="AX240" s="442">
        <f t="shared" si="85"/>
        <v>0.21838698987135746</v>
      </c>
      <c r="AY240" s="442">
        <f t="shared" si="85"/>
        <v>0.21838698987135746</v>
      </c>
      <c r="AZ240" s="442">
        <f t="shared" si="85"/>
        <v>0.21838698987135746</v>
      </c>
      <c r="BA240" s="442">
        <f t="shared" si="85"/>
        <v>0.21838698987135746</v>
      </c>
      <c r="BB240" s="442">
        <f t="shared" si="85"/>
        <v>0.21838698987135746</v>
      </c>
      <c r="BC240" s="442">
        <f t="shared" si="85"/>
        <v>0.21838698987135746</v>
      </c>
      <c r="BD240" s="442">
        <f t="shared" si="85"/>
        <v>0.21838698987135746</v>
      </c>
      <c r="BE240" s="442">
        <f t="shared" si="85"/>
        <v>0.21838698987135746</v>
      </c>
      <c r="BF240" s="442">
        <f t="shared" si="85"/>
        <v>0.21838698987135746</v>
      </c>
    </row>
    <row r="241" spans="1:58" s="108" customFormat="1" ht="12.75">
      <c r="A241" s="440" t="s">
        <v>629</v>
      </c>
      <c r="B241" s="25"/>
      <c r="C241" s="443">
        <f aca="true" t="shared" si="86" ref="C241:AH241">(C$230*SUM(C$24:C$28)+C$231*SUM(C$29:C$33)+C$232*SUM(C$34:C$38)+C$233*SUM(C$39:C$43)+C$234*SUM(C$44:C$48)+C$235*SUM(C$49:C$53)+C$236*SUM(C$54:C$58)+C$237*SUM(C$59:C$63)+C$238*SUM(C$64:C$68)+C$239*SUM(C$69:C$73)+C$240*SUM(C$74:C$99))/SUM(C$24:C$99)</f>
        <v>0.7354763152444725</v>
      </c>
      <c r="D241" s="443">
        <f t="shared" si="86"/>
        <v>0.7386197692593396</v>
      </c>
      <c r="E241" s="443">
        <f t="shared" si="86"/>
        <v>0.7351061823237116</v>
      </c>
      <c r="F241" s="443">
        <f t="shared" si="86"/>
        <v>0.7306382690921559</v>
      </c>
      <c r="G241" s="443">
        <f t="shared" si="86"/>
        <v>0.7257093568381185</v>
      </c>
      <c r="H241" s="443">
        <f t="shared" si="86"/>
        <v>0.7216231887271407</v>
      </c>
      <c r="I241" s="443">
        <f t="shared" si="86"/>
        <v>0.7205470036234267</v>
      </c>
      <c r="J241" s="443">
        <f t="shared" si="86"/>
        <v>0.7215185640231445</v>
      </c>
      <c r="K241" s="443">
        <f t="shared" si="86"/>
        <v>0.7207286062615872</v>
      </c>
      <c r="L241" s="443">
        <f t="shared" si="86"/>
        <v>0.7199732334089834</v>
      </c>
      <c r="M241" s="443">
        <f t="shared" si="86"/>
        <v>0.7194656456428568</v>
      </c>
      <c r="N241" s="443">
        <f t="shared" si="86"/>
        <v>0.7188573008188552</v>
      </c>
      <c r="O241" s="443">
        <f t="shared" si="86"/>
        <v>0.7174306168664386</v>
      </c>
      <c r="P241" s="443">
        <f t="shared" si="86"/>
        <v>0.7157337792529681</v>
      </c>
      <c r="Q241" s="443">
        <f t="shared" si="86"/>
        <v>0.7140775476119549</v>
      </c>
      <c r="R241" s="443">
        <f t="shared" si="86"/>
        <v>0.7120274307948025</v>
      </c>
      <c r="S241" s="443">
        <f t="shared" si="86"/>
        <v>0.7095457325909863</v>
      </c>
      <c r="T241" s="443">
        <f t="shared" si="86"/>
        <v>0.7070354072881672</v>
      </c>
      <c r="U241" s="443">
        <f t="shared" si="86"/>
        <v>0.7043338451526461</v>
      </c>
      <c r="V241" s="443">
        <f t="shared" si="86"/>
        <v>0.7017278172165842</v>
      </c>
      <c r="W241" s="443">
        <f t="shared" si="86"/>
        <v>0.6990830138865809</v>
      </c>
      <c r="X241" s="443">
        <f t="shared" si="86"/>
        <v>0.6965127536484618</v>
      </c>
      <c r="Y241" s="443">
        <f t="shared" si="86"/>
        <v>0.6941527466282011</v>
      </c>
      <c r="Z241" s="443">
        <f t="shared" si="86"/>
        <v>0.6920449310212232</v>
      </c>
      <c r="AA241" s="443">
        <f t="shared" si="86"/>
        <v>0.6904219610367931</v>
      </c>
      <c r="AB241" s="443">
        <f t="shared" si="86"/>
        <v>0.6890418606741693</v>
      </c>
      <c r="AC241" s="443">
        <f t="shared" si="86"/>
        <v>0.6879216782796487</v>
      </c>
      <c r="AD241" s="443">
        <f t="shared" si="86"/>
        <v>0.6867308582842372</v>
      </c>
      <c r="AE241" s="443">
        <f t="shared" si="86"/>
        <v>0.6854926100002264</v>
      </c>
      <c r="AF241" s="443">
        <f t="shared" si="86"/>
        <v>0.6844116936882335</v>
      </c>
      <c r="AG241" s="443">
        <f t="shared" si="86"/>
        <v>0.6832490062766855</v>
      </c>
      <c r="AH241" s="443">
        <f t="shared" si="86"/>
        <v>0.6822720571336477</v>
      </c>
      <c r="AI241" s="443">
        <f aca="true" t="shared" si="87" ref="AI241:BF241">(AI$230*SUM(AI$24:AI$28)+AI$231*SUM(AI$29:AI$33)+AI$232*SUM(AI$34:AI$38)+AI$233*SUM(AI$39:AI$43)+AI$234*SUM(AI$44:AI$48)+AI$235*SUM(AI$49:AI$53)+AI$236*SUM(AI$54:AI$58)+AI$237*SUM(AI$59:AI$63)+AI$238*SUM(AI$64:AI$68)+AI$239*SUM(AI$69:AI$73)+AI$240*SUM(AI$74:AI$99))/SUM(AI$24:AI$99)</f>
        <v>0.6816106380235653</v>
      </c>
      <c r="AJ241" s="443">
        <f t="shared" si="87"/>
        <v>0.6813031147559805</v>
      </c>
      <c r="AK241" s="443">
        <f t="shared" si="87"/>
        <v>0.6812747336865895</v>
      </c>
      <c r="AL241" s="443">
        <f t="shared" si="87"/>
        <v>0.6815147888474486</v>
      </c>
      <c r="AM241" s="443">
        <f t="shared" si="87"/>
        <v>0.6818165453488688</v>
      </c>
      <c r="AN241" s="443">
        <f t="shared" si="87"/>
        <v>0.6821656805162047</v>
      </c>
      <c r="AO241" s="443">
        <f t="shared" si="87"/>
        <v>0.6823704575171344</v>
      </c>
      <c r="AP241" s="443">
        <f t="shared" si="87"/>
        <v>0.6824103135191338</v>
      </c>
      <c r="AQ241" s="443">
        <f t="shared" si="87"/>
        <v>0.6822756818553252</v>
      </c>
      <c r="AR241" s="443">
        <f t="shared" si="87"/>
        <v>0.6819970288745958</v>
      </c>
      <c r="AS241" s="443">
        <f t="shared" si="87"/>
        <v>0.6814525864764085</v>
      </c>
      <c r="AT241" s="443">
        <f t="shared" si="87"/>
        <v>0.6809739909037222</v>
      </c>
      <c r="AU241" s="443">
        <f t="shared" si="87"/>
        <v>0.6805834429165896</v>
      </c>
      <c r="AV241" s="443">
        <f t="shared" si="87"/>
        <v>0.6801356298274334</v>
      </c>
      <c r="AW241" s="443">
        <f t="shared" si="87"/>
        <v>0.6795927378241394</v>
      </c>
      <c r="AX241" s="443">
        <f t="shared" si="87"/>
        <v>0.6787717731237053</v>
      </c>
      <c r="AY241" s="443">
        <f t="shared" si="87"/>
        <v>0.6777521898101245</v>
      </c>
      <c r="AZ241" s="443">
        <f t="shared" si="87"/>
        <v>0.6764974802212245</v>
      </c>
      <c r="BA241" s="443">
        <f t="shared" si="87"/>
        <v>0.6749665409443751</v>
      </c>
      <c r="BB241" s="443">
        <f t="shared" si="87"/>
        <v>0.6736758200621601</v>
      </c>
      <c r="BC241" s="443">
        <f t="shared" si="87"/>
        <v>0.672493162271972</v>
      </c>
      <c r="BD241" s="443">
        <f t="shared" si="87"/>
        <v>0.6715232629424526</v>
      </c>
      <c r="BE241" s="443">
        <f t="shared" si="87"/>
        <v>0.6705788453394904</v>
      </c>
      <c r="BF241" s="443">
        <f t="shared" si="87"/>
        <v>0.6697676955660895</v>
      </c>
    </row>
    <row r="242" spans="1:58" s="108" customFormat="1" ht="12.75">
      <c r="A242" s="444"/>
      <c r="B242" s="25"/>
      <c r="C242" s="445"/>
      <c r="D242" s="445"/>
      <c r="E242" s="445"/>
      <c r="F242" s="446"/>
      <c r="G242" s="446"/>
      <c r="H242" s="446"/>
      <c r="I242" s="446"/>
      <c r="J242" s="446"/>
      <c r="K242" s="446"/>
      <c r="L242" s="446"/>
      <c r="M242" s="446"/>
      <c r="N242" s="446"/>
      <c r="O242" s="446"/>
      <c r="P242" s="446"/>
      <c r="Q242" s="446"/>
      <c r="R242" s="446"/>
      <c r="S242" s="446"/>
      <c r="T242" s="446"/>
      <c r="U242" s="446"/>
      <c r="V242" s="446"/>
      <c r="W242" s="446"/>
      <c r="X242" s="446"/>
      <c r="Y242" s="446"/>
      <c r="Z242" s="446"/>
      <c r="AA242" s="446"/>
      <c r="AB242" s="446"/>
      <c r="AC242" s="446"/>
      <c r="AD242" s="446"/>
      <c r="AE242" s="446"/>
      <c r="AF242" s="446"/>
      <c r="AG242" s="446"/>
      <c r="AH242" s="446"/>
      <c r="AI242" s="446"/>
      <c r="AJ242" s="446"/>
      <c r="AK242" s="446"/>
      <c r="AL242" s="446"/>
      <c r="AM242" s="446"/>
      <c r="AN242" s="446"/>
      <c r="AO242" s="446"/>
      <c r="AP242" s="446"/>
      <c r="AQ242" s="446"/>
      <c r="AR242" s="446"/>
      <c r="AS242" s="446"/>
      <c r="AT242" s="446"/>
      <c r="AU242" s="446"/>
      <c r="AV242" s="446"/>
      <c r="AW242" s="446"/>
      <c r="AX242" s="446"/>
      <c r="AY242" s="446"/>
      <c r="AZ242" s="446"/>
      <c r="BA242" s="446"/>
      <c r="BB242" s="446"/>
      <c r="BC242" s="446"/>
      <c r="BD242" s="446"/>
      <c r="BE242" s="446"/>
      <c r="BF242" s="446"/>
    </row>
    <row r="243" spans="1:58" s="108" customFormat="1" ht="12.75">
      <c r="A243" s="440" t="s">
        <v>774</v>
      </c>
      <c r="B243" s="25"/>
      <c r="C243" s="447"/>
      <c r="D243" s="447"/>
      <c r="E243" s="447"/>
      <c r="F243" s="442"/>
      <c r="G243" s="442"/>
      <c r="H243" s="442"/>
      <c r="I243" s="442"/>
      <c r="J243" s="442"/>
      <c r="K243" s="442"/>
      <c r="L243" s="442"/>
      <c r="M243" s="442"/>
      <c r="N243" s="442"/>
      <c r="O243" s="442"/>
      <c r="P243" s="442"/>
      <c r="Q243" s="442"/>
      <c r="R243" s="442"/>
      <c r="S243" s="442"/>
      <c r="T243" s="442"/>
      <c r="U243" s="442"/>
      <c r="V243" s="442"/>
      <c r="W243" s="442"/>
      <c r="X243" s="442"/>
      <c r="Y243" s="442"/>
      <c r="Z243" s="442"/>
      <c r="AA243" s="442"/>
      <c r="AB243" s="442"/>
      <c r="AC243" s="442"/>
      <c r="AD243" s="442"/>
      <c r="AE243" s="442"/>
      <c r="AF243" s="442"/>
      <c r="AG243" s="442"/>
      <c r="AH243" s="442"/>
      <c r="AI243" s="442"/>
      <c r="AJ243" s="442"/>
      <c r="AK243" s="442"/>
      <c r="AL243" s="442"/>
      <c r="AM243" s="442"/>
      <c r="AN243" s="442"/>
      <c r="AO243" s="442"/>
      <c r="AP243" s="442"/>
      <c r="AQ243" s="442"/>
      <c r="AR243" s="442"/>
      <c r="AS243" s="442"/>
      <c r="AT243" s="442"/>
      <c r="AU243" s="442"/>
      <c r="AV243" s="442"/>
      <c r="AW243" s="442"/>
      <c r="AX243" s="442"/>
      <c r="AY243" s="442"/>
      <c r="AZ243" s="442"/>
      <c r="BA243" s="442"/>
      <c r="BB243" s="442"/>
      <c r="BC243" s="442"/>
      <c r="BD243" s="442"/>
      <c r="BE243" s="442"/>
      <c r="BF243" s="442"/>
    </row>
    <row r="244" spans="1:58" s="108" customFormat="1" ht="12.75">
      <c r="A244" s="441" t="s">
        <v>775</v>
      </c>
      <c r="B244" s="25"/>
      <c r="C244" s="442">
        <v>0.5405171505027571</v>
      </c>
      <c r="D244" s="442">
        <v>0.5513067023445464</v>
      </c>
      <c r="E244" s="442">
        <v>0.5373464001379679</v>
      </c>
      <c r="F244" s="470">
        <v>0.5347659512701798</v>
      </c>
      <c r="G244" s="470">
        <v>0.5301866717464953</v>
      </c>
      <c r="H244" s="470">
        <v>0.5266129581327635</v>
      </c>
      <c r="I244" s="470">
        <v>0.5269515291502962</v>
      </c>
      <c r="J244" s="470">
        <v>0.5288722381758303</v>
      </c>
      <c r="K244" s="442">
        <f aca="true" t="shared" si="88" ref="K244:AU244">J244*K277/J277</f>
        <v>0.5288722381758303</v>
      </c>
      <c r="L244" s="442">
        <f t="shared" si="88"/>
        <v>0.5288722381758303</v>
      </c>
      <c r="M244" s="442">
        <f t="shared" si="88"/>
        <v>0.5288722381758303</v>
      </c>
      <c r="N244" s="442">
        <f t="shared" si="88"/>
        <v>0.5288722381758303</v>
      </c>
      <c r="O244" s="442">
        <f t="shared" si="88"/>
        <v>0.5288722381758303</v>
      </c>
      <c r="P244" s="442">
        <f t="shared" si="88"/>
        <v>0.5288722381758303</v>
      </c>
      <c r="Q244" s="442">
        <f t="shared" si="88"/>
        <v>0.5288722381758303</v>
      </c>
      <c r="R244" s="442">
        <f t="shared" si="88"/>
        <v>0.5288722381758303</v>
      </c>
      <c r="S244" s="442">
        <f t="shared" si="88"/>
        <v>0.5288722381758303</v>
      </c>
      <c r="T244" s="442">
        <f t="shared" si="88"/>
        <v>0.5288722381758303</v>
      </c>
      <c r="U244" s="442">
        <f t="shared" si="88"/>
        <v>0.5288722381758303</v>
      </c>
      <c r="V244" s="442">
        <f t="shared" si="88"/>
        <v>0.5288722381758303</v>
      </c>
      <c r="W244" s="442">
        <f t="shared" si="88"/>
        <v>0.5288722381758303</v>
      </c>
      <c r="X244" s="442">
        <f t="shared" si="88"/>
        <v>0.5288722381758303</v>
      </c>
      <c r="Y244" s="442">
        <f t="shared" si="88"/>
        <v>0.5288722381758303</v>
      </c>
      <c r="Z244" s="442">
        <f t="shared" si="88"/>
        <v>0.5288722381758303</v>
      </c>
      <c r="AA244" s="442">
        <f t="shared" si="88"/>
        <v>0.5288722381758303</v>
      </c>
      <c r="AB244" s="442">
        <f t="shared" si="88"/>
        <v>0.5288722381758303</v>
      </c>
      <c r="AC244" s="442">
        <f t="shared" si="88"/>
        <v>0.5288722381758303</v>
      </c>
      <c r="AD244" s="442">
        <f t="shared" si="88"/>
        <v>0.5288722381758303</v>
      </c>
      <c r="AE244" s="442">
        <f t="shared" si="88"/>
        <v>0.5288722381758303</v>
      </c>
      <c r="AF244" s="442">
        <f t="shared" si="88"/>
        <v>0.5288722381758303</v>
      </c>
      <c r="AG244" s="442">
        <f t="shared" si="88"/>
        <v>0.5288722381758303</v>
      </c>
      <c r="AH244" s="442">
        <f t="shared" si="88"/>
        <v>0.5288722381758303</v>
      </c>
      <c r="AI244" s="442">
        <f t="shared" si="88"/>
        <v>0.5288722381758303</v>
      </c>
      <c r="AJ244" s="442">
        <f t="shared" si="88"/>
        <v>0.5288722381758303</v>
      </c>
      <c r="AK244" s="442">
        <f t="shared" si="88"/>
        <v>0.5288722381758303</v>
      </c>
      <c r="AL244" s="442">
        <f t="shared" si="88"/>
        <v>0.5288722381758303</v>
      </c>
      <c r="AM244" s="442">
        <f t="shared" si="88"/>
        <v>0.5288722381758303</v>
      </c>
      <c r="AN244" s="442">
        <f t="shared" si="88"/>
        <v>0.5288722381758303</v>
      </c>
      <c r="AO244" s="442">
        <f t="shared" si="88"/>
        <v>0.5288722381758303</v>
      </c>
      <c r="AP244" s="442">
        <f t="shared" si="88"/>
        <v>0.5288722381758303</v>
      </c>
      <c r="AQ244" s="442">
        <f t="shared" si="88"/>
        <v>0.5288722381758303</v>
      </c>
      <c r="AR244" s="442">
        <f t="shared" si="88"/>
        <v>0.5288722381758303</v>
      </c>
      <c r="AS244" s="442">
        <f t="shared" si="88"/>
        <v>0.5288722381758303</v>
      </c>
      <c r="AT244" s="442">
        <f t="shared" si="88"/>
        <v>0.5288722381758303</v>
      </c>
      <c r="AU244" s="442">
        <f t="shared" si="88"/>
        <v>0.5288722381758303</v>
      </c>
      <c r="AV244" s="442">
        <f aca="true" t="shared" si="89" ref="AV244:BF244">AU244</f>
        <v>0.5288722381758303</v>
      </c>
      <c r="AW244" s="442">
        <f t="shared" si="89"/>
        <v>0.5288722381758303</v>
      </c>
      <c r="AX244" s="442">
        <f t="shared" si="89"/>
        <v>0.5288722381758303</v>
      </c>
      <c r="AY244" s="442">
        <f t="shared" si="89"/>
        <v>0.5288722381758303</v>
      </c>
      <c r="AZ244" s="442">
        <f t="shared" si="89"/>
        <v>0.5288722381758303</v>
      </c>
      <c r="BA244" s="442">
        <f t="shared" si="89"/>
        <v>0.5288722381758303</v>
      </c>
      <c r="BB244" s="442">
        <f t="shared" si="89"/>
        <v>0.5288722381758303</v>
      </c>
      <c r="BC244" s="442">
        <f t="shared" si="89"/>
        <v>0.5288722381758303</v>
      </c>
      <c r="BD244" s="442">
        <f t="shared" si="89"/>
        <v>0.5288722381758303</v>
      </c>
      <c r="BE244" s="442">
        <f t="shared" si="89"/>
        <v>0.5288722381758303</v>
      </c>
      <c r="BF244" s="442">
        <f t="shared" si="89"/>
        <v>0.5288722381758303</v>
      </c>
    </row>
    <row r="245" spans="1:58" s="108" customFormat="1" ht="12.75">
      <c r="A245" s="441" t="s">
        <v>776</v>
      </c>
      <c r="B245" s="25"/>
      <c r="C245" s="442">
        <v>0.6696443928448572</v>
      </c>
      <c r="D245" s="442">
        <v>0.6795314761215628</v>
      </c>
      <c r="E245" s="442">
        <v>0.6579199321803925</v>
      </c>
      <c r="F245" s="470">
        <v>0.6481106412429847</v>
      </c>
      <c r="G245" s="470">
        <v>0.638659338086605</v>
      </c>
      <c r="H245" s="470">
        <v>0.6298119334836242</v>
      </c>
      <c r="I245" s="470">
        <v>0.6246957568803362</v>
      </c>
      <c r="J245" s="470">
        <v>0.6212989750812162</v>
      </c>
      <c r="K245" s="442">
        <f aca="true" t="shared" si="90" ref="K245:AU245">J245*K278/J278</f>
        <v>0.6195595163570118</v>
      </c>
      <c r="L245" s="442">
        <f t="shared" si="90"/>
        <v>0.6178200576328075</v>
      </c>
      <c r="M245" s="442">
        <f t="shared" si="90"/>
        <v>0.616080598908603</v>
      </c>
      <c r="N245" s="442">
        <f t="shared" si="90"/>
        <v>0.6143411401843986</v>
      </c>
      <c r="O245" s="442">
        <f t="shared" si="90"/>
        <v>0.6149209597591334</v>
      </c>
      <c r="P245" s="442">
        <f t="shared" si="90"/>
        <v>0.6155007793338682</v>
      </c>
      <c r="Q245" s="442">
        <f t="shared" si="90"/>
        <v>0.616080598908603</v>
      </c>
      <c r="R245" s="442">
        <f t="shared" si="90"/>
        <v>0.6166604184833379</v>
      </c>
      <c r="S245" s="442">
        <f t="shared" si="90"/>
        <v>0.6172402380580727</v>
      </c>
      <c r="T245" s="442">
        <f t="shared" si="90"/>
        <v>0.6172402380580727</v>
      </c>
      <c r="U245" s="442">
        <f t="shared" si="90"/>
        <v>0.6172402380580727</v>
      </c>
      <c r="V245" s="442">
        <f t="shared" si="90"/>
        <v>0.6172402380580727</v>
      </c>
      <c r="W245" s="442">
        <f t="shared" si="90"/>
        <v>0.6172402380580727</v>
      </c>
      <c r="X245" s="442">
        <f t="shared" si="90"/>
        <v>0.6172402380580727</v>
      </c>
      <c r="Y245" s="442">
        <f t="shared" si="90"/>
        <v>0.6172402380580727</v>
      </c>
      <c r="Z245" s="442">
        <f t="shared" si="90"/>
        <v>0.6172402380580727</v>
      </c>
      <c r="AA245" s="442">
        <f t="shared" si="90"/>
        <v>0.6172402380580727</v>
      </c>
      <c r="AB245" s="442">
        <f t="shared" si="90"/>
        <v>0.6172402380580727</v>
      </c>
      <c r="AC245" s="442">
        <f t="shared" si="90"/>
        <v>0.6172402380580727</v>
      </c>
      <c r="AD245" s="442">
        <f t="shared" si="90"/>
        <v>0.6172402380580727</v>
      </c>
      <c r="AE245" s="442">
        <f t="shared" si="90"/>
        <v>0.6172402380580727</v>
      </c>
      <c r="AF245" s="442">
        <f t="shared" si="90"/>
        <v>0.6172402380580727</v>
      </c>
      <c r="AG245" s="442">
        <f t="shared" si="90"/>
        <v>0.6172402380580727</v>
      </c>
      <c r="AH245" s="442">
        <f t="shared" si="90"/>
        <v>0.6172402380580727</v>
      </c>
      <c r="AI245" s="442">
        <f t="shared" si="90"/>
        <v>0.6172402380580727</v>
      </c>
      <c r="AJ245" s="442">
        <f t="shared" si="90"/>
        <v>0.6172402380580727</v>
      </c>
      <c r="AK245" s="442">
        <f t="shared" si="90"/>
        <v>0.6172402380580727</v>
      </c>
      <c r="AL245" s="442">
        <f t="shared" si="90"/>
        <v>0.6172402380580727</v>
      </c>
      <c r="AM245" s="442">
        <f t="shared" si="90"/>
        <v>0.6172402380580727</v>
      </c>
      <c r="AN245" s="442">
        <f t="shared" si="90"/>
        <v>0.6172402380580727</v>
      </c>
      <c r="AO245" s="442">
        <f t="shared" si="90"/>
        <v>0.6172402380580727</v>
      </c>
      <c r="AP245" s="442">
        <f t="shared" si="90"/>
        <v>0.6172402380580727</v>
      </c>
      <c r="AQ245" s="442">
        <f t="shared" si="90"/>
        <v>0.6172402380580727</v>
      </c>
      <c r="AR245" s="442">
        <f t="shared" si="90"/>
        <v>0.6172402380580727</v>
      </c>
      <c r="AS245" s="442">
        <f t="shared" si="90"/>
        <v>0.6172402380580727</v>
      </c>
      <c r="AT245" s="442">
        <f t="shared" si="90"/>
        <v>0.6172402380580727</v>
      </c>
      <c r="AU245" s="442">
        <f t="shared" si="90"/>
        <v>0.6172402380580727</v>
      </c>
      <c r="AV245" s="442">
        <f aca="true" t="shared" si="91" ref="AV245:BF245">AU245</f>
        <v>0.6172402380580727</v>
      </c>
      <c r="AW245" s="442">
        <f t="shared" si="91"/>
        <v>0.6172402380580727</v>
      </c>
      <c r="AX245" s="442">
        <f t="shared" si="91"/>
        <v>0.6172402380580727</v>
      </c>
      <c r="AY245" s="442">
        <f t="shared" si="91"/>
        <v>0.6172402380580727</v>
      </c>
      <c r="AZ245" s="442">
        <f t="shared" si="91"/>
        <v>0.6172402380580727</v>
      </c>
      <c r="BA245" s="442">
        <f t="shared" si="91"/>
        <v>0.6172402380580727</v>
      </c>
      <c r="BB245" s="442">
        <f t="shared" si="91"/>
        <v>0.6172402380580727</v>
      </c>
      <c r="BC245" s="442">
        <f t="shared" si="91"/>
        <v>0.6172402380580727</v>
      </c>
      <c r="BD245" s="442">
        <f t="shared" si="91"/>
        <v>0.6172402380580727</v>
      </c>
      <c r="BE245" s="442">
        <f t="shared" si="91"/>
        <v>0.6172402380580727</v>
      </c>
      <c r="BF245" s="442">
        <f t="shared" si="91"/>
        <v>0.6172402380580727</v>
      </c>
    </row>
    <row r="246" spans="1:58" s="108" customFormat="1" ht="12.75">
      <c r="A246" s="441" t="s">
        <v>777</v>
      </c>
      <c r="B246" s="25"/>
      <c r="C246" s="442">
        <v>0.6974995321856288</v>
      </c>
      <c r="D246" s="442">
        <v>0.7160678753040017</v>
      </c>
      <c r="E246" s="442">
        <v>0.7222052640854822</v>
      </c>
      <c r="F246" s="470">
        <v>0.7175606835631072</v>
      </c>
      <c r="G246" s="470">
        <v>0.715995877111036</v>
      </c>
      <c r="H246" s="470">
        <v>0.7151436957327894</v>
      </c>
      <c r="I246" s="470">
        <v>0.717959904613432</v>
      </c>
      <c r="J246" s="470">
        <v>0.7222188738380039</v>
      </c>
      <c r="K246" s="442">
        <f aca="true" t="shared" si="92" ref="K246:AU246">J246*K279/J279</f>
        <v>0.723336919805308</v>
      </c>
      <c r="L246" s="442">
        <f t="shared" si="92"/>
        <v>0.7244549657726123</v>
      </c>
      <c r="M246" s="442">
        <f t="shared" si="92"/>
        <v>0.7255730117399164</v>
      </c>
      <c r="N246" s="442">
        <f t="shared" si="92"/>
        <v>0.7266910577072206</v>
      </c>
      <c r="O246" s="442">
        <f t="shared" si="92"/>
        <v>0.7251770371264962</v>
      </c>
      <c r="P246" s="442">
        <f t="shared" si="92"/>
        <v>0.7236630165457716</v>
      </c>
      <c r="Q246" s="442">
        <f t="shared" si="92"/>
        <v>0.7221489959650471</v>
      </c>
      <c r="R246" s="442">
        <f t="shared" si="92"/>
        <v>0.7206349753843226</v>
      </c>
      <c r="S246" s="442">
        <f t="shared" si="92"/>
        <v>0.7191209548035982</v>
      </c>
      <c r="T246" s="442">
        <f t="shared" si="92"/>
        <v>0.7196256283305063</v>
      </c>
      <c r="U246" s="442">
        <f t="shared" si="92"/>
        <v>0.7201303018574144</v>
      </c>
      <c r="V246" s="442">
        <f t="shared" si="92"/>
        <v>0.7206349753843226</v>
      </c>
      <c r="W246" s="442">
        <f t="shared" si="92"/>
        <v>0.7211396489112308</v>
      </c>
      <c r="X246" s="442">
        <f t="shared" si="92"/>
        <v>0.7216443224381389</v>
      </c>
      <c r="Y246" s="442">
        <f t="shared" si="92"/>
        <v>0.7216443224381389</v>
      </c>
      <c r="Z246" s="442">
        <f t="shared" si="92"/>
        <v>0.7216443224381389</v>
      </c>
      <c r="AA246" s="442">
        <f t="shared" si="92"/>
        <v>0.7216443224381389</v>
      </c>
      <c r="AB246" s="442">
        <f t="shared" si="92"/>
        <v>0.7216443224381389</v>
      </c>
      <c r="AC246" s="442">
        <f t="shared" si="92"/>
        <v>0.7216443224381389</v>
      </c>
      <c r="AD246" s="442">
        <f t="shared" si="92"/>
        <v>0.7216443224381389</v>
      </c>
      <c r="AE246" s="442">
        <f t="shared" si="92"/>
        <v>0.7216443224381389</v>
      </c>
      <c r="AF246" s="442">
        <f t="shared" si="92"/>
        <v>0.7216443224381389</v>
      </c>
      <c r="AG246" s="442">
        <f t="shared" si="92"/>
        <v>0.7216443224381389</v>
      </c>
      <c r="AH246" s="442">
        <f t="shared" si="92"/>
        <v>0.7216443224381389</v>
      </c>
      <c r="AI246" s="442">
        <f t="shared" si="92"/>
        <v>0.7216443224381389</v>
      </c>
      <c r="AJ246" s="442">
        <f t="shared" si="92"/>
        <v>0.7216443224381389</v>
      </c>
      <c r="AK246" s="442">
        <f t="shared" si="92"/>
        <v>0.7216443224381389</v>
      </c>
      <c r="AL246" s="442">
        <f t="shared" si="92"/>
        <v>0.7216443224381389</v>
      </c>
      <c r="AM246" s="442">
        <f t="shared" si="92"/>
        <v>0.7216443224381389</v>
      </c>
      <c r="AN246" s="442">
        <f t="shared" si="92"/>
        <v>0.7216443224381389</v>
      </c>
      <c r="AO246" s="442">
        <f t="shared" si="92"/>
        <v>0.7216443224381389</v>
      </c>
      <c r="AP246" s="442">
        <f t="shared" si="92"/>
        <v>0.7216443224381389</v>
      </c>
      <c r="AQ246" s="442">
        <f t="shared" si="92"/>
        <v>0.7216443224381389</v>
      </c>
      <c r="AR246" s="442">
        <f t="shared" si="92"/>
        <v>0.7216443224381389</v>
      </c>
      <c r="AS246" s="442">
        <f t="shared" si="92"/>
        <v>0.7216443224381389</v>
      </c>
      <c r="AT246" s="442">
        <f t="shared" si="92"/>
        <v>0.7216443224381389</v>
      </c>
      <c r="AU246" s="442">
        <f t="shared" si="92"/>
        <v>0.7216443224381389</v>
      </c>
      <c r="AV246" s="442">
        <f aca="true" t="shared" si="93" ref="AV246:BF246">AU246</f>
        <v>0.7216443224381389</v>
      </c>
      <c r="AW246" s="442">
        <f t="shared" si="93"/>
        <v>0.7216443224381389</v>
      </c>
      <c r="AX246" s="442">
        <f t="shared" si="93"/>
        <v>0.7216443224381389</v>
      </c>
      <c r="AY246" s="442">
        <f t="shared" si="93"/>
        <v>0.7216443224381389</v>
      </c>
      <c r="AZ246" s="442">
        <f t="shared" si="93"/>
        <v>0.7216443224381389</v>
      </c>
      <c r="BA246" s="442">
        <f t="shared" si="93"/>
        <v>0.7216443224381389</v>
      </c>
      <c r="BB246" s="442">
        <f t="shared" si="93"/>
        <v>0.7216443224381389</v>
      </c>
      <c r="BC246" s="442">
        <f t="shared" si="93"/>
        <v>0.7216443224381389</v>
      </c>
      <c r="BD246" s="442">
        <f t="shared" si="93"/>
        <v>0.7216443224381389</v>
      </c>
      <c r="BE246" s="442">
        <f t="shared" si="93"/>
        <v>0.7216443224381389</v>
      </c>
      <c r="BF246" s="442">
        <f t="shared" si="93"/>
        <v>0.7216443224381389</v>
      </c>
    </row>
    <row r="247" spans="1:58" s="108" customFormat="1" ht="12.75">
      <c r="A247" s="441" t="s">
        <v>778</v>
      </c>
      <c r="B247" s="25"/>
      <c r="C247" s="442">
        <v>0.7042930389471574</v>
      </c>
      <c r="D247" s="442">
        <v>0.7214318869481502</v>
      </c>
      <c r="E247" s="442">
        <v>0.7156051974614542</v>
      </c>
      <c r="F247" s="470">
        <v>0.7094488872209802</v>
      </c>
      <c r="G247" s="470">
        <v>0.7102997243733944</v>
      </c>
      <c r="H247" s="470">
        <v>0.7117809176955457</v>
      </c>
      <c r="I247" s="470">
        <v>0.7167362538094196</v>
      </c>
      <c r="J247" s="470">
        <v>0.7231112064865162</v>
      </c>
      <c r="K247" s="442">
        <f aca="true" t="shared" si="94" ref="K247:AU247">J247*K280/J280</f>
        <v>0.7244485127350272</v>
      </c>
      <c r="L247" s="442">
        <f t="shared" si="94"/>
        <v>0.725785818983538</v>
      </c>
      <c r="M247" s="442">
        <f t="shared" si="94"/>
        <v>0.7271231252320489</v>
      </c>
      <c r="N247" s="442">
        <f t="shared" si="94"/>
        <v>0.72846043148056</v>
      </c>
      <c r="O247" s="442">
        <f t="shared" si="94"/>
        <v>0.729316307479607</v>
      </c>
      <c r="P247" s="442">
        <f t="shared" si="94"/>
        <v>0.730172183478654</v>
      </c>
      <c r="Q247" s="442">
        <f t="shared" si="94"/>
        <v>0.7310280594777011</v>
      </c>
      <c r="R247" s="442">
        <f t="shared" si="94"/>
        <v>0.731883935476748</v>
      </c>
      <c r="S247" s="442">
        <f t="shared" si="94"/>
        <v>0.7327398114757949</v>
      </c>
      <c r="T247" s="442">
        <f t="shared" si="94"/>
        <v>0.7315808127270854</v>
      </c>
      <c r="U247" s="442">
        <f t="shared" si="94"/>
        <v>0.7304218139783759</v>
      </c>
      <c r="V247" s="442">
        <f t="shared" si="94"/>
        <v>0.7292628152296665</v>
      </c>
      <c r="W247" s="442">
        <f t="shared" si="94"/>
        <v>0.728103816480957</v>
      </c>
      <c r="X247" s="442">
        <f t="shared" si="94"/>
        <v>0.7269448177322475</v>
      </c>
      <c r="Y247" s="442">
        <f t="shared" si="94"/>
        <v>0.7273311506484841</v>
      </c>
      <c r="Z247" s="442">
        <f t="shared" si="94"/>
        <v>0.7277174835647207</v>
      </c>
      <c r="AA247" s="442">
        <f t="shared" si="94"/>
        <v>0.7281038164809571</v>
      </c>
      <c r="AB247" s="442">
        <f t="shared" si="94"/>
        <v>0.7284901493971937</v>
      </c>
      <c r="AC247" s="442">
        <f t="shared" si="94"/>
        <v>0.7288764823134302</v>
      </c>
      <c r="AD247" s="442">
        <f t="shared" si="94"/>
        <v>0.7288764823134302</v>
      </c>
      <c r="AE247" s="442">
        <f t="shared" si="94"/>
        <v>0.7288764823134302</v>
      </c>
      <c r="AF247" s="442">
        <f t="shared" si="94"/>
        <v>0.7288764823134302</v>
      </c>
      <c r="AG247" s="442">
        <f t="shared" si="94"/>
        <v>0.7288764823134302</v>
      </c>
      <c r="AH247" s="442">
        <f t="shared" si="94"/>
        <v>0.7288764823134302</v>
      </c>
      <c r="AI247" s="442">
        <f t="shared" si="94"/>
        <v>0.7288764823134302</v>
      </c>
      <c r="AJ247" s="442">
        <f t="shared" si="94"/>
        <v>0.7288764823134302</v>
      </c>
      <c r="AK247" s="442">
        <f t="shared" si="94"/>
        <v>0.7288764823134302</v>
      </c>
      <c r="AL247" s="442">
        <f t="shared" si="94"/>
        <v>0.7288764823134302</v>
      </c>
      <c r="AM247" s="442">
        <f t="shared" si="94"/>
        <v>0.7288764823134302</v>
      </c>
      <c r="AN247" s="442">
        <f t="shared" si="94"/>
        <v>0.7288764823134302</v>
      </c>
      <c r="AO247" s="442">
        <f t="shared" si="94"/>
        <v>0.7288764823134302</v>
      </c>
      <c r="AP247" s="442">
        <f t="shared" si="94"/>
        <v>0.7288764823134302</v>
      </c>
      <c r="AQ247" s="442">
        <f t="shared" si="94"/>
        <v>0.7288764823134302</v>
      </c>
      <c r="AR247" s="442">
        <f t="shared" si="94"/>
        <v>0.7288764823134302</v>
      </c>
      <c r="AS247" s="442">
        <f t="shared" si="94"/>
        <v>0.7288764823134302</v>
      </c>
      <c r="AT247" s="442">
        <f t="shared" si="94"/>
        <v>0.7288764823134302</v>
      </c>
      <c r="AU247" s="442">
        <f t="shared" si="94"/>
        <v>0.7288764823134302</v>
      </c>
      <c r="AV247" s="442">
        <f aca="true" t="shared" si="95" ref="AV247:BF247">AU247</f>
        <v>0.7288764823134302</v>
      </c>
      <c r="AW247" s="442">
        <f t="shared" si="95"/>
        <v>0.7288764823134302</v>
      </c>
      <c r="AX247" s="442">
        <f t="shared" si="95"/>
        <v>0.7288764823134302</v>
      </c>
      <c r="AY247" s="442">
        <f t="shared" si="95"/>
        <v>0.7288764823134302</v>
      </c>
      <c r="AZ247" s="442">
        <f t="shared" si="95"/>
        <v>0.7288764823134302</v>
      </c>
      <c r="BA247" s="442">
        <f t="shared" si="95"/>
        <v>0.7288764823134302</v>
      </c>
      <c r="BB247" s="442">
        <f t="shared" si="95"/>
        <v>0.7288764823134302</v>
      </c>
      <c r="BC247" s="442">
        <f t="shared" si="95"/>
        <v>0.7288764823134302</v>
      </c>
      <c r="BD247" s="442">
        <f t="shared" si="95"/>
        <v>0.7288764823134302</v>
      </c>
      <c r="BE247" s="442">
        <f t="shared" si="95"/>
        <v>0.7288764823134302</v>
      </c>
      <c r="BF247" s="442">
        <f t="shared" si="95"/>
        <v>0.7288764823134302</v>
      </c>
    </row>
    <row r="248" spans="1:58" s="108" customFormat="1" ht="12.75">
      <c r="A248" s="441" t="s">
        <v>779</v>
      </c>
      <c r="B248" s="25"/>
      <c r="C248" s="442">
        <v>0.7042270682902949</v>
      </c>
      <c r="D248" s="442">
        <v>0.7044633098548788</v>
      </c>
      <c r="E248" s="442">
        <v>0.7217337753838399</v>
      </c>
      <c r="F248" s="470">
        <v>0.7078058281230178</v>
      </c>
      <c r="G248" s="470">
        <v>0.702134133341872</v>
      </c>
      <c r="H248" s="470">
        <v>0.6976736279899033</v>
      </c>
      <c r="I248" s="470">
        <v>0.6972055653225707</v>
      </c>
      <c r="J248" s="470">
        <v>0.6982158116226926</v>
      </c>
      <c r="K248" s="442">
        <f aca="true" t="shared" si="96" ref="K248:AU248">J248*K281/J281</f>
        <v>0.7045182477273597</v>
      </c>
      <c r="L248" s="442">
        <f t="shared" si="96"/>
        <v>0.7108206838320267</v>
      </c>
      <c r="M248" s="442">
        <f t="shared" si="96"/>
        <v>0.7171231199366939</v>
      </c>
      <c r="N248" s="442">
        <f t="shared" si="96"/>
        <v>0.7234255560413608</v>
      </c>
      <c r="O248" s="442">
        <f t="shared" si="96"/>
        <v>0.7244521972167817</v>
      </c>
      <c r="P248" s="442">
        <f t="shared" si="96"/>
        <v>0.7254788383922025</v>
      </c>
      <c r="Q248" s="442">
        <f t="shared" si="96"/>
        <v>0.7265054795676233</v>
      </c>
      <c r="R248" s="442">
        <f t="shared" si="96"/>
        <v>0.7275321207430442</v>
      </c>
      <c r="S248" s="442">
        <f t="shared" si="96"/>
        <v>0.7285587619184651</v>
      </c>
      <c r="T248" s="442">
        <f t="shared" si="96"/>
        <v>0.7292158122707344</v>
      </c>
      <c r="U248" s="442">
        <f t="shared" si="96"/>
        <v>0.7298728626230038</v>
      </c>
      <c r="V248" s="442">
        <f t="shared" si="96"/>
        <v>0.7305299129752731</v>
      </c>
      <c r="W248" s="442">
        <f t="shared" si="96"/>
        <v>0.7311869633275425</v>
      </c>
      <c r="X248" s="442">
        <f t="shared" si="96"/>
        <v>0.7318440136798118</v>
      </c>
      <c r="Y248" s="442">
        <f t="shared" si="96"/>
        <v>0.7309542579944471</v>
      </c>
      <c r="Z248" s="442">
        <f t="shared" si="96"/>
        <v>0.7300645023090824</v>
      </c>
      <c r="AA248" s="442">
        <f t="shared" si="96"/>
        <v>0.7291747466237176</v>
      </c>
      <c r="AB248" s="442">
        <f t="shared" si="96"/>
        <v>0.7282849909383527</v>
      </c>
      <c r="AC248" s="442">
        <f t="shared" si="96"/>
        <v>0.727395235252988</v>
      </c>
      <c r="AD248" s="442">
        <f t="shared" si="96"/>
        <v>0.7276918204814429</v>
      </c>
      <c r="AE248" s="442">
        <f t="shared" si="96"/>
        <v>0.7279884057098978</v>
      </c>
      <c r="AF248" s="442">
        <f t="shared" si="96"/>
        <v>0.7282849909383526</v>
      </c>
      <c r="AG248" s="442">
        <f t="shared" si="96"/>
        <v>0.7285815761668075</v>
      </c>
      <c r="AH248" s="442">
        <f t="shared" si="96"/>
        <v>0.7288781613952624</v>
      </c>
      <c r="AI248" s="442">
        <f t="shared" si="96"/>
        <v>0.7288781613952624</v>
      </c>
      <c r="AJ248" s="442">
        <f t="shared" si="96"/>
        <v>0.7288781613952624</v>
      </c>
      <c r="AK248" s="442">
        <f t="shared" si="96"/>
        <v>0.7288781613952624</v>
      </c>
      <c r="AL248" s="442">
        <f t="shared" si="96"/>
        <v>0.7288781613952624</v>
      </c>
      <c r="AM248" s="442">
        <f t="shared" si="96"/>
        <v>0.7288781613952624</v>
      </c>
      <c r="AN248" s="442">
        <f t="shared" si="96"/>
        <v>0.7288781613952624</v>
      </c>
      <c r="AO248" s="442">
        <f t="shared" si="96"/>
        <v>0.7288781613952624</v>
      </c>
      <c r="AP248" s="442">
        <f t="shared" si="96"/>
        <v>0.7288781613952624</v>
      </c>
      <c r="AQ248" s="442">
        <f t="shared" si="96"/>
        <v>0.7288781613952624</v>
      </c>
      <c r="AR248" s="442">
        <f t="shared" si="96"/>
        <v>0.7288781613952624</v>
      </c>
      <c r="AS248" s="442">
        <f t="shared" si="96"/>
        <v>0.7288781613952624</v>
      </c>
      <c r="AT248" s="442">
        <f t="shared" si="96"/>
        <v>0.7288781613952624</v>
      </c>
      <c r="AU248" s="442">
        <f t="shared" si="96"/>
        <v>0.7288781613952624</v>
      </c>
      <c r="AV248" s="442">
        <f aca="true" t="shared" si="97" ref="AV248:BF248">AU248</f>
        <v>0.7288781613952624</v>
      </c>
      <c r="AW248" s="442">
        <f t="shared" si="97"/>
        <v>0.7288781613952624</v>
      </c>
      <c r="AX248" s="442">
        <f t="shared" si="97"/>
        <v>0.7288781613952624</v>
      </c>
      <c r="AY248" s="442">
        <f t="shared" si="97"/>
        <v>0.7288781613952624</v>
      </c>
      <c r="AZ248" s="442">
        <f t="shared" si="97"/>
        <v>0.7288781613952624</v>
      </c>
      <c r="BA248" s="442">
        <f t="shared" si="97"/>
        <v>0.7288781613952624</v>
      </c>
      <c r="BB248" s="442">
        <f t="shared" si="97"/>
        <v>0.7288781613952624</v>
      </c>
      <c r="BC248" s="442">
        <f t="shared" si="97"/>
        <v>0.7288781613952624</v>
      </c>
      <c r="BD248" s="442">
        <f t="shared" si="97"/>
        <v>0.7288781613952624</v>
      </c>
      <c r="BE248" s="442">
        <f t="shared" si="97"/>
        <v>0.7288781613952624</v>
      </c>
      <c r="BF248" s="442">
        <f t="shared" si="97"/>
        <v>0.7288781613952624</v>
      </c>
    </row>
    <row r="249" spans="1:58" s="108" customFormat="1" ht="12.75">
      <c r="A249" s="441" t="s">
        <v>780</v>
      </c>
      <c r="B249" s="25"/>
      <c r="C249" s="442">
        <v>0.798036169989192</v>
      </c>
      <c r="D249" s="442">
        <v>0.7752611940298507</v>
      </c>
      <c r="E249" s="442">
        <v>0.7932679448314175</v>
      </c>
      <c r="F249" s="470">
        <v>0.7824298620159188</v>
      </c>
      <c r="G249" s="470">
        <v>0.7779728029111842</v>
      </c>
      <c r="H249" s="470">
        <v>0.7742507826237224</v>
      </c>
      <c r="I249" s="470">
        <v>0.7746770742186924</v>
      </c>
      <c r="J249" s="470">
        <v>0.7769661805786666</v>
      </c>
      <c r="K249" s="442">
        <f aca="true" t="shared" si="98" ref="K249:AU249">J249*K282/J282</f>
        <v>0.7836059721545097</v>
      </c>
      <c r="L249" s="442">
        <f t="shared" si="98"/>
        <v>0.7902457637303526</v>
      </c>
      <c r="M249" s="442">
        <f t="shared" si="98"/>
        <v>0.7968855553061956</v>
      </c>
      <c r="N249" s="442">
        <f t="shared" si="98"/>
        <v>0.8035253468820387</v>
      </c>
      <c r="O249" s="442">
        <f t="shared" si="98"/>
        <v>0.8083266358415849</v>
      </c>
      <c r="P249" s="442">
        <f t="shared" si="98"/>
        <v>0.8131279248011312</v>
      </c>
      <c r="Q249" s="442">
        <f t="shared" si="98"/>
        <v>0.8179292137606773</v>
      </c>
      <c r="R249" s="442">
        <f t="shared" si="98"/>
        <v>0.8227305027202235</v>
      </c>
      <c r="S249" s="442">
        <f t="shared" si="98"/>
        <v>0.8275317916797698</v>
      </c>
      <c r="T249" s="442">
        <f t="shared" si="98"/>
        <v>0.8283139020985194</v>
      </c>
      <c r="U249" s="442">
        <f t="shared" si="98"/>
        <v>0.829096012517269</v>
      </c>
      <c r="V249" s="442">
        <f t="shared" si="98"/>
        <v>0.8298781229360187</v>
      </c>
      <c r="W249" s="442">
        <f t="shared" si="98"/>
        <v>0.8306602333547682</v>
      </c>
      <c r="X249" s="442">
        <f t="shared" si="98"/>
        <v>0.8314423437735179</v>
      </c>
      <c r="Y249" s="442">
        <f t="shared" si="98"/>
        <v>0.8319428944415177</v>
      </c>
      <c r="Z249" s="442">
        <f t="shared" si="98"/>
        <v>0.8324434451095173</v>
      </c>
      <c r="AA249" s="442">
        <f t="shared" si="98"/>
        <v>0.8329439957775171</v>
      </c>
      <c r="AB249" s="442">
        <f t="shared" si="98"/>
        <v>0.8334445464455167</v>
      </c>
      <c r="AC249" s="442">
        <f t="shared" si="98"/>
        <v>0.8339450971135164</v>
      </c>
      <c r="AD249" s="442">
        <f t="shared" si="98"/>
        <v>0.8332672680839335</v>
      </c>
      <c r="AE249" s="442">
        <f t="shared" si="98"/>
        <v>0.8325894390543505</v>
      </c>
      <c r="AF249" s="442">
        <f t="shared" si="98"/>
        <v>0.8319116100247674</v>
      </c>
      <c r="AG249" s="442">
        <f t="shared" si="98"/>
        <v>0.8312337809951844</v>
      </c>
      <c r="AH249" s="442">
        <f t="shared" si="98"/>
        <v>0.8305559519656015</v>
      </c>
      <c r="AI249" s="442">
        <f t="shared" si="98"/>
        <v>0.8307818949754626</v>
      </c>
      <c r="AJ249" s="442">
        <f t="shared" si="98"/>
        <v>0.8310078379853235</v>
      </c>
      <c r="AK249" s="442">
        <f t="shared" si="98"/>
        <v>0.8312337809951846</v>
      </c>
      <c r="AL249" s="442">
        <f t="shared" si="98"/>
        <v>0.8314597240050455</v>
      </c>
      <c r="AM249" s="442">
        <f t="shared" si="98"/>
        <v>0.8316856670149065</v>
      </c>
      <c r="AN249" s="442">
        <f t="shared" si="98"/>
        <v>0.8316856670149065</v>
      </c>
      <c r="AO249" s="442">
        <f t="shared" si="98"/>
        <v>0.8316856670149065</v>
      </c>
      <c r="AP249" s="442">
        <f t="shared" si="98"/>
        <v>0.8316856670149065</v>
      </c>
      <c r="AQ249" s="442">
        <f t="shared" si="98"/>
        <v>0.8316856670149065</v>
      </c>
      <c r="AR249" s="442">
        <f t="shared" si="98"/>
        <v>0.8316856670149065</v>
      </c>
      <c r="AS249" s="442">
        <f t="shared" si="98"/>
        <v>0.8316856670149065</v>
      </c>
      <c r="AT249" s="442">
        <f t="shared" si="98"/>
        <v>0.8316856670149065</v>
      </c>
      <c r="AU249" s="442">
        <f t="shared" si="98"/>
        <v>0.8316856670149065</v>
      </c>
      <c r="AV249" s="442">
        <f aca="true" t="shared" si="99" ref="AV249:BF249">AU249</f>
        <v>0.8316856670149065</v>
      </c>
      <c r="AW249" s="442">
        <f t="shared" si="99"/>
        <v>0.8316856670149065</v>
      </c>
      <c r="AX249" s="442">
        <f t="shared" si="99"/>
        <v>0.8316856670149065</v>
      </c>
      <c r="AY249" s="442">
        <f t="shared" si="99"/>
        <v>0.8316856670149065</v>
      </c>
      <c r="AZ249" s="442">
        <f t="shared" si="99"/>
        <v>0.8316856670149065</v>
      </c>
      <c r="BA249" s="442">
        <f t="shared" si="99"/>
        <v>0.8316856670149065</v>
      </c>
      <c r="BB249" s="442">
        <f t="shared" si="99"/>
        <v>0.8316856670149065</v>
      </c>
      <c r="BC249" s="442">
        <f t="shared" si="99"/>
        <v>0.8316856670149065</v>
      </c>
      <c r="BD249" s="442">
        <f t="shared" si="99"/>
        <v>0.8316856670149065</v>
      </c>
      <c r="BE249" s="442">
        <f t="shared" si="99"/>
        <v>0.8316856670149065</v>
      </c>
      <c r="BF249" s="442">
        <f t="shared" si="99"/>
        <v>0.8316856670149065</v>
      </c>
    </row>
    <row r="250" spans="1:58" s="108" customFormat="1" ht="12.75">
      <c r="A250" s="441" t="s">
        <v>781</v>
      </c>
      <c r="B250" s="25"/>
      <c r="C250" s="442">
        <v>0.7923441605254727</v>
      </c>
      <c r="D250" s="442">
        <v>0.7895992841581077</v>
      </c>
      <c r="E250" s="442">
        <v>0.80504496520505</v>
      </c>
      <c r="F250" s="470">
        <v>0.7944789894264874</v>
      </c>
      <c r="G250" s="470">
        <v>0.7891486382172083</v>
      </c>
      <c r="H250" s="470">
        <v>0.7848429489307652</v>
      </c>
      <c r="I250" s="470">
        <v>0.7847757014722575</v>
      </c>
      <c r="J250" s="470">
        <v>0.7863989160040977</v>
      </c>
      <c r="K250" s="442">
        <f aca="true" t="shared" si="100" ref="K250:AU250">J250*K283/J283</f>
        <v>0.787320883109686</v>
      </c>
      <c r="L250" s="442">
        <f t="shared" si="100"/>
        <v>0.7882428502152742</v>
      </c>
      <c r="M250" s="442">
        <f t="shared" si="100"/>
        <v>0.7891648173208624</v>
      </c>
      <c r="N250" s="442">
        <f t="shared" si="100"/>
        <v>0.7900867844264505</v>
      </c>
      <c r="O250" s="442">
        <f t="shared" si="100"/>
        <v>0.7960980099548859</v>
      </c>
      <c r="P250" s="442">
        <f t="shared" si="100"/>
        <v>0.8021092354833211</v>
      </c>
      <c r="Q250" s="442">
        <f t="shared" si="100"/>
        <v>0.8081204610117566</v>
      </c>
      <c r="R250" s="442">
        <f t="shared" si="100"/>
        <v>0.8141316865401919</v>
      </c>
      <c r="S250" s="442">
        <f t="shared" si="100"/>
        <v>0.8201429120686271</v>
      </c>
      <c r="T250" s="442">
        <f t="shared" si="100"/>
        <v>0.8244896796491071</v>
      </c>
      <c r="U250" s="442">
        <f t="shared" si="100"/>
        <v>0.8288364472295872</v>
      </c>
      <c r="V250" s="442">
        <f t="shared" si="100"/>
        <v>0.8331832148100671</v>
      </c>
      <c r="W250" s="442">
        <f t="shared" si="100"/>
        <v>0.8375299823905471</v>
      </c>
      <c r="X250" s="442">
        <f t="shared" si="100"/>
        <v>0.8418767499710271</v>
      </c>
      <c r="Y250" s="442">
        <f t="shared" si="100"/>
        <v>0.8425848207081189</v>
      </c>
      <c r="Z250" s="442">
        <f t="shared" si="100"/>
        <v>0.8432928914452107</v>
      </c>
      <c r="AA250" s="442">
        <f t="shared" si="100"/>
        <v>0.8440009621823024</v>
      </c>
      <c r="AB250" s="442">
        <f t="shared" si="100"/>
        <v>0.8447090329193941</v>
      </c>
      <c r="AC250" s="442">
        <f t="shared" si="100"/>
        <v>0.8454171036564859</v>
      </c>
      <c r="AD250" s="442">
        <f t="shared" si="100"/>
        <v>0.8458702689282246</v>
      </c>
      <c r="AE250" s="442">
        <f t="shared" si="100"/>
        <v>0.8463234341999633</v>
      </c>
      <c r="AF250" s="442">
        <f t="shared" si="100"/>
        <v>0.846776599471702</v>
      </c>
      <c r="AG250" s="442">
        <f t="shared" si="100"/>
        <v>0.8472297647434407</v>
      </c>
      <c r="AH250" s="442">
        <f t="shared" si="100"/>
        <v>0.8476829300151794</v>
      </c>
      <c r="AI250" s="442">
        <f t="shared" si="100"/>
        <v>0.8470692687096998</v>
      </c>
      <c r="AJ250" s="442">
        <f t="shared" si="100"/>
        <v>0.8464556074042202</v>
      </c>
      <c r="AK250" s="442">
        <f t="shared" si="100"/>
        <v>0.8458419460987405</v>
      </c>
      <c r="AL250" s="442">
        <f t="shared" si="100"/>
        <v>0.8452282847932611</v>
      </c>
      <c r="AM250" s="442">
        <f t="shared" si="100"/>
        <v>0.8446146234877816</v>
      </c>
      <c r="AN250" s="442">
        <f t="shared" si="100"/>
        <v>0.8448191772562748</v>
      </c>
      <c r="AO250" s="442">
        <f t="shared" si="100"/>
        <v>0.845023731024768</v>
      </c>
      <c r="AP250" s="442">
        <f t="shared" si="100"/>
        <v>0.8452282847932614</v>
      </c>
      <c r="AQ250" s="442">
        <f t="shared" si="100"/>
        <v>0.8454328385617546</v>
      </c>
      <c r="AR250" s="442">
        <f t="shared" si="100"/>
        <v>0.8456373923302477</v>
      </c>
      <c r="AS250" s="442">
        <f t="shared" si="100"/>
        <v>0.8456373923302477</v>
      </c>
      <c r="AT250" s="442">
        <f t="shared" si="100"/>
        <v>0.8456373923302477</v>
      </c>
      <c r="AU250" s="442">
        <f t="shared" si="100"/>
        <v>0.8456373923302477</v>
      </c>
      <c r="AV250" s="442">
        <f aca="true" t="shared" si="101" ref="AV250:BF250">AU250</f>
        <v>0.8456373923302477</v>
      </c>
      <c r="AW250" s="442">
        <f t="shared" si="101"/>
        <v>0.8456373923302477</v>
      </c>
      <c r="AX250" s="442">
        <f t="shared" si="101"/>
        <v>0.8456373923302477</v>
      </c>
      <c r="AY250" s="442">
        <f t="shared" si="101"/>
        <v>0.8456373923302477</v>
      </c>
      <c r="AZ250" s="442">
        <f t="shared" si="101"/>
        <v>0.8456373923302477</v>
      </c>
      <c r="BA250" s="442">
        <f t="shared" si="101"/>
        <v>0.8456373923302477</v>
      </c>
      <c r="BB250" s="442">
        <f t="shared" si="101"/>
        <v>0.8456373923302477</v>
      </c>
      <c r="BC250" s="442">
        <f t="shared" si="101"/>
        <v>0.8456373923302477</v>
      </c>
      <c r="BD250" s="442">
        <f t="shared" si="101"/>
        <v>0.8456373923302477</v>
      </c>
      <c r="BE250" s="442">
        <f t="shared" si="101"/>
        <v>0.8456373923302477</v>
      </c>
      <c r="BF250" s="442">
        <f t="shared" si="101"/>
        <v>0.8456373923302477</v>
      </c>
    </row>
    <row r="251" spans="1:58" s="108" customFormat="1" ht="12.75">
      <c r="A251" s="441" t="s">
        <v>782</v>
      </c>
      <c r="B251" s="25"/>
      <c r="C251" s="442">
        <v>0.7871046137740222</v>
      </c>
      <c r="D251" s="442">
        <v>0.7716441088603906</v>
      </c>
      <c r="E251" s="442">
        <v>0.7987752966995553</v>
      </c>
      <c r="F251" s="470">
        <v>0.7938718960384253</v>
      </c>
      <c r="G251" s="470">
        <v>0.7951474017224804</v>
      </c>
      <c r="H251" s="470">
        <v>0.7969320028115341</v>
      </c>
      <c r="I251" s="470">
        <v>0.8024145497171897</v>
      </c>
      <c r="J251" s="470">
        <v>0.8095788080079476</v>
      </c>
      <c r="K251" s="442">
        <f aca="true" t="shared" si="102" ref="K251:AU251">J251*K284/J284</f>
        <v>0.8074593875646731</v>
      </c>
      <c r="L251" s="442">
        <f t="shared" si="102"/>
        <v>0.8053399671213987</v>
      </c>
      <c r="M251" s="442">
        <f t="shared" si="102"/>
        <v>0.8032205466781241</v>
      </c>
      <c r="N251" s="442">
        <f t="shared" si="102"/>
        <v>0.8011011262348497</v>
      </c>
      <c r="O251" s="442">
        <f t="shared" si="102"/>
        <v>0.8020414324878518</v>
      </c>
      <c r="P251" s="442">
        <f t="shared" si="102"/>
        <v>0.8029817387408538</v>
      </c>
      <c r="Q251" s="442">
        <f t="shared" si="102"/>
        <v>0.8039220449938559</v>
      </c>
      <c r="R251" s="442">
        <f t="shared" si="102"/>
        <v>0.804862351246858</v>
      </c>
      <c r="S251" s="442">
        <f t="shared" si="102"/>
        <v>0.8058026574998601</v>
      </c>
      <c r="T251" s="442">
        <f t="shared" si="102"/>
        <v>0.8119334542694334</v>
      </c>
      <c r="U251" s="442">
        <f t="shared" si="102"/>
        <v>0.8180642510390066</v>
      </c>
      <c r="V251" s="442">
        <f t="shared" si="102"/>
        <v>0.8241950478085799</v>
      </c>
      <c r="W251" s="442">
        <f t="shared" si="102"/>
        <v>0.8303258445781531</v>
      </c>
      <c r="X251" s="442">
        <f t="shared" si="102"/>
        <v>0.8364566413477263</v>
      </c>
      <c r="Y251" s="442">
        <f t="shared" si="102"/>
        <v>0.8408898718952132</v>
      </c>
      <c r="Z251" s="442">
        <f t="shared" si="102"/>
        <v>0.8453231024427001</v>
      </c>
      <c r="AA251" s="442">
        <f t="shared" si="102"/>
        <v>0.849756332990187</v>
      </c>
      <c r="AB251" s="442">
        <f t="shared" si="102"/>
        <v>0.854189563537674</v>
      </c>
      <c r="AC251" s="442">
        <f t="shared" si="102"/>
        <v>0.858622794085161</v>
      </c>
      <c r="AD251" s="442">
        <f t="shared" si="102"/>
        <v>0.8593449492874665</v>
      </c>
      <c r="AE251" s="442">
        <f t="shared" si="102"/>
        <v>0.860067104489772</v>
      </c>
      <c r="AF251" s="442">
        <f t="shared" si="102"/>
        <v>0.8607892596920775</v>
      </c>
      <c r="AG251" s="442">
        <f t="shared" si="102"/>
        <v>0.8615114148943831</v>
      </c>
      <c r="AH251" s="442">
        <f t="shared" si="102"/>
        <v>0.8622335700966887</v>
      </c>
      <c r="AI251" s="442">
        <f t="shared" si="102"/>
        <v>0.8626957494261642</v>
      </c>
      <c r="AJ251" s="442">
        <f t="shared" si="102"/>
        <v>0.8631579287556397</v>
      </c>
      <c r="AK251" s="442">
        <f t="shared" si="102"/>
        <v>0.8636201080851151</v>
      </c>
      <c r="AL251" s="442">
        <f t="shared" si="102"/>
        <v>0.8640822874145907</v>
      </c>
      <c r="AM251" s="442">
        <f t="shared" si="102"/>
        <v>0.8645444667440662</v>
      </c>
      <c r="AN251" s="442">
        <f t="shared" si="102"/>
        <v>0.8639185989020679</v>
      </c>
      <c r="AO251" s="442">
        <f t="shared" si="102"/>
        <v>0.8632927310600698</v>
      </c>
      <c r="AP251" s="442">
        <f t="shared" si="102"/>
        <v>0.8626668632180717</v>
      </c>
      <c r="AQ251" s="442">
        <f t="shared" si="102"/>
        <v>0.8620409953760735</v>
      </c>
      <c r="AR251" s="442">
        <f t="shared" si="102"/>
        <v>0.8614151275340753</v>
      </c>
      <c r="AS251" s="442">
        <f t="shared" si="102"/>
        <v>0.8616237501480748</v>
      </c>
      <c r="AT251" s="442">
        <f t="shared" si="102"/>
        <v>0.861832372762074</v>
      </c>
      <c r="AU251" s="442">
        <f t="shared" si="102"/>
        <v>0.8620409953760735</v>
      </c>
      <c r="AV251" s="442">
        <f aca="true" t="shared" si="103" ref="AV251:BF251">AU251</f>
        <v>0.8620409953760735</v>
      </c>
      <c r="AW251" s="442">
        <f t="shared" si="103"/>
        <v>0.8620409953760735</v>
      </c>
      <c r="AX251" s="442">
        <f t="shared" si="103"/>
        <v>0.8620409953760735</v>
      </c>
      <c r="AY251" s="442">
        <f t="shared" si="103"/>
        <v>0.8620409953760735</v>
      </c>
      <c r="AZ251" s="442">
        <f t="shared" si="103"/>
        <v>0.8620409953760735</v>
      </c>
      <c r="BA251" s="442">
        <f t="shared" si="103"/>
        <v>0.8620409953760735</v>
      </c>
      <c r="BB251" s="442">
        <f t="shared" si="103"/>
        <v>0.8620409953760735</v>
      </c>
      <c r="BC251" s="442">
        <f t="shared" si="103"/>
        <v>0.8620409953760735</v>
      </c>
      <c r="BD251" s="442">
        <f t="shared" si="103"/>
        <v>0.8620409953760735</v>
      </c>
      <c r="BE251" s="442">
        <f t="shared" si="103"/>
        <v>0.8620409953760735</v>
      </c>
      <c r="BF251" s="442">
        <f t="shared" si="103"/>
        <v>0.8620409953760735</v>
      </c>
    </row>
    <row r="252" spans="1:58" s="108" customFormat="1" ht="12.75">
      <c r="A252" s="441" t="s">
        <v>783</v>
      </c>
      <c r="B252" s="25"/>
      <c r="C252" s="442">
        <v>0.7037289514357764</v>
      </c>
      <c r="D252" s="442">
        <v>0.7046156191560291</v>
      </c>
      <c r="E252" s="442">
        <v>0.7324464771969573</v>
      </c>
      <c r="F252" s="470">
        <v>0.7405514367083789</v>
      </c>
      <c r="G252" s="470">
        <v>0.7529156175108875</v>
      </c>
      <c r="H252" s="470">
        <v>0.7657455967980867</v>
      </c>
      <c r="I252" s="470">
        <v>0.7817368368556988</v>
      </c>
      <c r="J252" s="470">
        <v>0.7991095268291426</v>
      </c>
      <c r="K252" s="442">
        <f aca="true" t="shared" si="104" ref="K252:AU252">J252*K285/J285</f>
        <v>0.8016837964838173</v>
      </c>
      <c r="L252" s="442">
        <f t="shared" si="104"/>
        <v>0.8042580661384918</v>
      </c>
      <c r="M252" s="442">
        <f t="shared" si="104"/>
        <v>0.8068323357931664</v>
      </c>
      <c r="N252" s="442">
        <f t="shared" si="104"/>
        <v>0.8094066054478409</v>
      </c>
      <c r="O252" s="442">
        <f t="shared" si="104"/>
        <v>0.8072931686478363</v>
      </c>
      <c r="P252" s="442">
        <f t="shared" si="104"/>
        <v>0.8051797318478314</v>
      </c>
      <c r="Q252" s="442">
        <f t="shared" si="104"/>
        <v>0.8030662950478267</v>
      </c>
      <c r="R252" s="442">
        <f t="shared" si="104"/>
        <v>0.8009528582478218</v>
      </c>
      <c r="S252" s="442">
        <f t="shared" si="104"/>
        <v>0.7988394214478172</v>
      </c>
      <c r="T252" s="442">
        <f t="shared" si="104"/>
        <v>0.7997770729858475</v>
      </c>
      <c r="U252" s="442">
        <f t="shared" si="104"/>
        <v>0.8007147245238779</v>
      </c>
      <c r="V252" s="442">
        <f t="shared" si="104"/>
        <v>0.8016523760619083</v>
      </c>
      <c r="W252" s="442">
        <f t="shared" si="104"/>
        <v>0.8025900275999386</v>
      </c>
      <c r="X252" s="442">
        <f t="shared" si="104"/>
        <v>0.803527679137969</v>
      </c>
      <c r="Y252" s="442">
        <f t="shared" si="104"/>
        <v>0.8096411671659265</v>
      </c>
      <c r="Z252" s="442">
        <f t="shared" si="104"/>
        <v>0.815754655193884</v>
      </c>
      <c r="AA252" s="442">
        <f t="shared" si="104"/>
        <v>0.8218681432218415</v>
      </c>
      <c r="AB252" s="442">
        <f t="shared" si="104"/>
        <v>0.8279816312497991</v>
      </c>
      <c r="AC252" s="442">
        <f t="shared" si="104"/>
        <v>0.8340951192777565</v>
      </c>
      <c r="AD252" s="442">
        <f t="shared" si="104"/>
        <v>0.8385158337290567</v>
      </c>
      <c r="AE252" s="442">
        <f t="shared" si="104"/>
        <v>0.8429365481803569</v>
      </c>
      <c r="AF252" s="442">
        <f t="shared" si="104"/>
        <v>0.847357262631657</v>
      </c>
      <c r="AG252" s="442">
        <f t="shared" si="104"/>
        <v>0.8517779770829572</v>
      </c>
      <c r="AH252" s="442">
        <f t="shared" si="104"/>
        <v>0.8561986915342573</v>
      </c>
      <c r="AI252" s="442">
        <f t="shared" si="104"/>
        <v>0.8569188079154646</v>
      </c>
      <c r="AJ252" s="442">
        <f t="shared" si="104"/>
        <v>0.8576389242966719</v>
      </c>
      <c r="AK252" s="442">
        <f t="shared" si="104"/>
        <v>0.8583590406778793</v>
      </c>
      <c r="AL252" s="442">
        <f t="shared" si="104"/>
        <v>0.8590791570590866</v>
      </c>
      <c r="AM252" s="442">
        <f t="shared" si="104"/>
        <v>0.8597992734402937</v>
      </c>
      <c r="AN252" s="442">
        <f t="shared" si="104"/>
        <v>0.8602601479242663</v>
      </c>
      <c r="AO252" s="442">
        <f t="shared" si="104"/>
        <v>0.8607210224082389</v>
      </c>
      <c r="AP252" s="442">
        <f t="shared" si="104"/>
        <v>0.8611818968922116</v>
      </c>
      <c r="AQ252" s="442">
        <f t="shared" si="104"/>
        <v>0.8616427713761842</v>
      </c>
      <c r="AR252" s="442">
        <f t="shared" si="104"/>
        <v>0.8621036458601568</v>
      </c>
      <c r="AS252" s="442">
        <f t="shared" si="104"/>
        <v>0.8614795449964437</v>
      </c>
      <c r="AT252" s="442">
        <f t="shared" si="104"/>
        <v>0.8608554441327307</v>
      </c>
      <c r="AU252" s="442">
        <f t="shared" si="104"/>
        <v>0.8602313432690177</v>
      </c>
      <c r="AV252" s="442">
        <f aca="true" t="shared" si="105" ref="AV252:BF252">AU252</f>
        <v>0.8602313432690177</v>
      </c>
      <c r="AW252" s="442">
        <f t="shared" si="105"/>
        <v>0.8602313432690177</v>
      </c>
      <c r="AX252" s="442">
        <f t="shared" si="105"/>
        <v>0.8602313432690177</v>
      </c>
      <c r="AY252" s="442">
        <f t="shared" si="105"/>
        <v>0.8602313432690177</v>
      </c>
      <c r="AZ252" s="442">
        <f t="shared" si="105"/>
        <v>0.8602313432690177</v>
      </c>
      <c r="BA252" s="442">
        <f t="shared" si="105"/>
        <v>0.8602313432690177</v>
      </c>
      <c r="BB252" s="442">
        <f t="shared" si="105"/>
        <v>0.8602313432690177</v>
      </c>
      <c r="BC252" s="442">
        <f t="shared" si="105"/>
        <v>0.8602313432690177</v>
      </c>
      <c r="BD252" s="442">
        <f t="shared" si="105"/>
        <v>0.8602313432690177</v>
      </c>
      <c r="BE252" s="442">
        <f t="shared" si="105"/>
        <v>0.8602313432690177</v>
      </c>
      <c r="BF252" s="442">
        <f t="shared" si="105"/>
        <v>0.8602313432690177</v>
      </c>
    </row>
    <row r="253" spans="1:58" s="108" customFormat="1" ht="12.75">
      <c r="A253" s="441" t="s">
        <v>784</v>
      </c>
      <c r="B253" s="25"/>
      <c r="C253" s="442">
        <v>0.4992374670184696</v>
      </c>
      <c r="D253" s="442">
        <v>0.4926827565572952</v>
      </c>
      <c r="E253" s="442">
        <v>0.5342321306133198</v>
      </c>
      <c r="F253" s="470">
        <v>0.5418888012032366</v>
      </c>
      <c r="G253" s="470">
        <v>0.5594164361492278</v>
      </c>
      <c r="H253" s="470">
        <v>0.5773826506494901</v>
      </c>
      <c r="I253" s="470">
        <v>0.5985414831051088</v>
      </c>
      <c r="J253" s="470">
        <v>0.6209112204558538</v>
      </c>
      <c r="K253" s="442">
        <f aca="true" t="shared" si="106" ref="K253:AU253">J253*K286/J286</f>
        <v>0.6288604773510467</v>
      </c>
      <c r="L253" s="442">
        <f t="shared" si="106"/>
        <v>0.6368097342462394</v>
      </c>
      <c r="M253" s="442">
        <f t="shared" si="106"/>
        <v>0.6447589911414323</v>
      </c>
      <c r="N253" s="442">
        <f t="shared" si="106"/>
        <v>0.6527082480366252</v>
      </c>
      <c r="O253" s="442">
        <f t="shared" si="106"/>
        <v>0.6548176926859892</v>
      </c>
      <c r="P253" s="442">
        <f t="shared" si="106"/>
        <v>0.6569271373353532</v>
      </c>
      <c r="Q253" s="442">
        <f t="shared" si="106"/>
        <v>0.6590365819847173</v>
      </c>
      <c r="R253" s="442">
        <f t="shared" si="106"/>
        <v>0.6611460266340812</v>
      </c>
      <c r="S253" s="442">
        <f t="shared" si="106"/>
        <v>0.6632554712834453</v>
      </c>
      <c r="T253" s="442">
        <f t="shared" si="106"/>
        <v>0.661523648845402</v>
      </c>
      <c r="U253" s="442">
        <f t="shared" si="106"/>
        <v>0.6597918264073589</v>
      </c>
      <c r="V253" s="442">
        <f t="shared" si="106"/>
        <v>0.6580600039693156</v>
      </c>
      <c r="W253" s="442">
        <f t="shared" si="106"/>
        <v>0.6563281815312725</v>
      </c>
      <c r="X253" s="442">
        <f t="shared" si="106"/>
        <v>0.6545963590932292</v>
      </c>
      <c r="Y253" s="442">
        <f t="shared" si="106"/>
        <v>0.6553647028509526</v>
      </c>
      <c r="Z253" s="442">
        <f t="shared" si="106"/>
        <v>0.656133046608676</v>
      </c>
      <c r="AA253" s="442">
        <f t="shared" si="106"/>
        <v>0.6569013903663994</v>
      </c>
      <c r="AB253" s="442">
        <f t="shared" si="106"/>
        <v>0.6576697341241228</v>
      </c>
      <c r="AC253" s="442">
        <f t="shared" si="106"/>
        <v>0.6584380778818462</v>
      </c>
      <c r="AD253" s="442">
        <f t="shared" si="106"/>
        <v>0.6634476791822027</v>
      </c>
      <c r="AE253" s="442">
        <f t="shared" si="106"/>
        <v>0.6684572804825593</v>
      </c>
      <c r="AF253" s="442">
        <f t="shared" si="106"/>
        <v>0.6734668817829158</v>
      </c>
      <c r="AG253" s="442">
        <f t="shared" si="106"/>
        <v>0.6784764830832722</v>
      </c>
      <c r="AH253" s="442">
        <f t="shared" si="106"/>
        <v>0.6834860843836287</v>
      </c>
      <c r="AI253" s="442">
        <f t="shared" si="106"/>
        <v>0.6871085690867086</v>
      </c>
      <c r="AJ253" s="442">
        <f t="shared" si="106"/>
        <v>0.6907310537897884</v>
      </c>
      <c r="AK253" s="442">
        <f t="shared" si="106"/>
        <v>0.6943535384928683</v>
      </c>
      <c r="AL253" s="442">
        <f t="shared" si="106"/>
        <v>0.6979760231959481</v>
      </c>
      <c r="AM253" s="442">
        <f t="shared" si="106"/>
        <v>0.701598507899028</v>
      </c>
      <c r="AN253" s="442">
        <f t="shared" si="106"/>
        <v>0.7021885959049596</v>
      </c>
      <c r="AO253" s="442">
        <f t="shared" si="106"/>
        <v>0.7027786839108912</v>
      </c>
      <c r="AP253" s="442">
        <f t="shared" si="106"/>
        <v>0.7033687719168228</v>
      </c>
      <c r="AQ253" s="442">
        <f t="shared" si="106"/>
        <v>0.7039588599227543</v>
      </c>
      <c r="AR253" s="442">
        <f t="shared" si="106"/>
        <v>0.7045489479286859</v>
      </c>
      <c r="AS253" s="442">
        <f t="shared" si="106"/>
        <v>0.7049266042524821</v>
      </c>
      <c r="AT253" s="442">
        <f t="shared" si="106"/>
        <v>0.7053042605762783</v>
      </c>
      <c r="AU253" s="442">
        <f t="shared" si="106"/>
        <v>0.7056819169000745</v>
      </c>
      <c r="AV253" s="442">
        <f aca="true" t="shared" si="107" ref="AV253:BF253">AU253</f>
        <v>0.7056819169000745</v>
      </c>
      <c r="AW253" s="442">
        <f t="shared" si="107"/>
        <v>0.7056819169000745</v>
      </c>
      <c r="AX253" s="442">
        <f t="shared" si="107"/>
        <v>0.7056819169000745</v>
      </c>
      <c r="AY253" s="442">
        <f t="shared" si="107"/>
        <v>0.7056819169000745</v>
      </c>
      <c r="AZ253" s="442">
        <f t="shared" si="107"/>
        <v>0.7056819169000745</v>
      </c>
      <c r="BA253" s="442">
        <f t="shared" si="107"/>
        <v>0.7056819169000745</v>
      </c>
      <c r="BB253" s="442">
        <f t="shared" si="107"/>
        <v>0.7056819169000745</v>
      </c>
      <c r="BC253" s="442">
        <f t="shared" si="107"/>
        <v>0.7056819169000745</v>
      </c>
      <c r="BD253" s="442">
        <f t="shared" si="107"/>
        <v>0.7056819169000745</v>
      </c>
      <c r="BE253" s="442">
        <f t="shared" si="107"/>
        <v>0.7056819169000745</v>
      </c>
      <c r="BF253" s="442">
        <f t="shared" si="107"/>
        <v>0.7056819169000745</v>
      </c>
    </row>
    <row r="254" spans="1:58" s="108" customFormat="1" ht="12.75">
      <c r="A254" s="441" t="s">
        <v>627</v>
      </c>
      <c r="B254" s="25"/>
      <c r="C254" s="442">
        <v>0.07333650240554691</v>
      </c>
      <c r="D254" s="442">
        <v>0.08124062144261618</v>
      </c>
      <c r="E254" s="442">
        <v>0.08415719146234207</v>
      </c>
      <c r="F254" s="470">
        <v>0.08457709695581517</v>
      </c>
      <c r="G254" s="470">
        <v>0.07862494457416425</v>
      </c>
      <c r="H254" s="470">
        <v>0.07378096780927326</v>
      </c>
      <c r="I254" s="470">
        <v>0.07634485381757389</v>
      </c>
      <c r="J254" s="470">
        <v>0.08240881756907985</v>
      </c>
      <c r="K254" s="442">
        <f aca="true" t="shared" si="108" ref="K254:AU254">J254*K287/J287</f>
        <v>0.08525044783829887</v>
      </c>
      <c r="L254" s="442">
        <f t="shared" si="108"/>
        <v>0.0880920781075179</v>
      </c>
      <c r="M254" s="442">
        <f t="shared" si="108"/>
        <v>0.09093370837673692</v>
      </c>
      <c r="N254" s="442">
        <f t="shared" si="108"/>
        <v>0.09377533864595596</v>
      </c>
      <c r="O254" s="442">
        <f t="shared" si="108"/>
        <v>0.09499147325404839</v>
      </c>
      <c r="P254" s="442">
        <f t="shared" si="108"/>
        <v>0.09620760786214082</v>
      </c>
      <c r="Q254" s="442">
        <f t="shared" si="108"/>
        <v>0.09742374247023325</v>
      </c>
      <c r="R254" s="442">
        <f t="shared" si="108"/>
        <v>0.09863987707832568</v>
      </c>
      <c r="S254" s="442">
        <f t="shared" si="108"/>
        <v>0.09985601168641811</v>
      </c>
      <c r="T254" s="442">
        <f t="shared" si="108"/>
        <v>0.1001787297311071</v>
      </c>
      <c r="U254" s="442">
        <f t="shared" si="108"/>
        <v>0.10050144777579609</v>
      </c>
      <c r="V254" s="442">
        <f t="shared" si="108"/>
        <v>0.10082416582048505</v>
      </c>
      <c r="W254" s="442">
        <f t="shared" si="108"/>
        <v>0.10114688386517404</v>
      </c>
      <c r="X254" s="442">
        <f t="shared" si="108"/>
        <v>0.10146960190986302</v>
      </c>
      <c r="Y254" s="442">
        <f t="shared" si="108"/>
        <v>0.10120465523248881</v>
      </c>
      <c r="Z254" s="442">
        <f t="shared" si="108"/>
        <v>0.1009397085551146</v>
      </c>
      <c r="AA254" s="442">
        <f t="shared" si="108"/>
        <v>0.1006747618777404</v>
      </c>
      <c r="AB254" s="442">
        <f t="shared" si="108"/>
        <v>0.10040981520036618</v>
      </c>
      <c r="AC254" s="442">
        <f t="shared" si="108"/>
        <v>0.10014486852299197</v>
      </c>
      <c r="AD254" s="442">
        <f t="shared" si="108"/>
        <v>0.10026241528830587</v>
      </c>
      <c r="AE254" s="442">
        <f t="shared" si="108"/>
        <v>0.10037996205361978</v>
      </c>
      <c r="AF254" s="442">
        <f t="shared" si="108"/>
        <v>0.10049750881893368</v>
      </c>
      <c r="AG254" s="442">
        <f t="shared" si="108"/>
        <v>0.10061505558424759</v>
      </c>
      <c r="AH254" s="442">
        <f t="shared" si="108"/>
        <v>0.1007326023495615</v>
      </c>
      <c r="AI254" s="442">
        <f t="shared" si="108"/>
        <v>0.10149900725940819</v>
      </c>
      <c r="AJ254" s="442">
        <f t="shared" si="108"/>
        <v>0.10226541216925487</v>
      </c>
      <c r="AK254" s="442">
        <f t="shared" si="108"/>
        <v>0.10303181707910156</v>
      </c>
      <c r="AL254" s="442">
        <f t="shared" si="108"/>
        <v>0.10379822198894824</v>
      </c>
      <c r="AM254" s="442">
        <f t="shared" si="108"/>
        <v>0.10456462689879494</v>
      </c>
      <c r="AN254" s="442">
        <f t="shared" si="108"/>
        <v>0.1051188207149949</v>
      </c>
      <c r="AO254" s="442">
        <f t="shared" si="108"/>
        <v>0.10567301453119489</v>
      </c>
      <c r="AP254" s="442">
        <f t="shared" si="108"/>
        <v>0.10622720834739485</v>
      </c>
      <c r="AQ254" s="442">
        <f t="shared" si="108"/>
        <v>0.10678140216359484</v>
      </c>
      <c r="AR254" s="442">
        <f t="shared" si="108"/>
        <v>0.10733559597979482</v>
      </c>
      <c r="AS254" s="442">
        <f t="shared" si="108"/>
        <v>0.10742587189555591</v>
      </c>
      <c r="AT254" s="442">
        <f t="shared" si="108"/>
        <v>0.10751614781131696</v>
      </c>
      <c r="AU254" s="442">
        <f t="shared" si="108"/>
        <v>0.10760642372707804</v>
      </c>
      <c r="AV254" s="442">
        <f aca="true" t="shared" si="109" ref="AV254:BF254">AU254</f>
        <v>0.10760642372707804</v>
      </c>
      <c r="AW254" s="442">
        <f t="shared" si="109"/>
        <v>0.10760642372707804</v>
      </c>
      <c r="AX254" s="442">
        <f t="shared" si="109"/>
        <v>0.10760642372707804</v>
      </c>
      <c r="AY254" s="442">
        <f t="shared" si="109"/>
        <v>0.10760642372707804</v>
      </c>
      <c r="AZ254" s="442">
        <f t="shared" si="109"/>
        <v>0.10760642372707804</v>
      </c>
      <c r="BA254" s="442">
        <f t="shared" si="109"/>
        <v>0.10760642372707804</v>
      </c>
      <c r="BB254" s="442">
        <f t="shared" si="109"/>
        <v>0.10760642372707804</v>
      </c>
      <c r="BC254" s="442">
        <f t="shared" si="109"/>
        <v>0.10760642372707804</v>
      </c>
      <c r="BD254" s="442">
        <f t="shared" si="109"/>
        <v>0.10760642372707804</v>
      </c>
      <c r="BE254" s="442">
        <f t="shared" si="109"/>
        <v>0.10760642372707804</v>
      </c>
      <c r="BF254" s="442">
        <f t="shared" si="109"/>
        <v>0.10760642372707804</v>
      </c>
    </row>
    <row r="255" spans="1:58" s="449" customFormat="1" ht="12.75">
      <c r="A255" s="440" t="s">
        <v>628</v>
      </c>
      <c r="B255" s="448"/>
      <c r="C255" s="443">
        <f aca="true" t="shared" si="110" ref="C255:AH255">(C$244*SUM(C$118:C$122)+C$245*SUM(C$123:C$127)+C$246*SUM(C$128:C$132)+C$247*SUM(C$133:C$137)+C$248*SUM(C$138:C$142)+C$249*SUM(C$143:C$147)+C$250*SUM(C$148:C$152)+C$251*SUM(C$153:C$157)+C$252*SUM(C$158:C$162)+C$253*SUM(C$163:C$167)+C$254*SUM(C$168:C$193))/SUM(C$118:C$193)</f>
        <v>0.5935219208228364</v>
      </c>
      <c r="D255" s="443">
        <f t="shared" si="110"/>
        <v>0.5936966817599044</v>
      </c>
      <c r="E255" s="443">
        <f t="shared" si="110"/>
        <v>0.6012677871756182</v>
      </c>
      <c r="F255" s="443">
        <f t="shared" si="110"/>
        <v>0.5953854342607571</v>
      </c>
      <c r="G255" s="443">
        <f t="shared" si="110"/>
        <v>0.5922719728803457</v>
      </c>
      <c r="H255" s="443">
        <f t="shared" si="110"/>
        <v>0.5899249983501988</v>
      </c>
      <c r="I255" s="443">
        <f t="shared" si="110"/>
        <v>0.5909866741448885</v>
      </c>
      <c r="J255" s="443">
        <f t="shared" si="110"/>
        <v>0.594188987886804</v>
      </c>
      <c r="K255" s="443">
        <f t="shared" si="110"/>
        <v>0.5941218165401139</v>
      </c>
      <c r="L255" s="443">
        <f t="shared" si="110"/>
        <v>0.5938647840594975</v>
      </c>
      <c r="M255" s="443">
        <f t="shared" si="110"/>
        <v>0.5936442567768143</v>
      </c>
      <c r="N255" s="443">
        <f t="shared" si="110"/>
        <v>0.5933677816831158</v>
      </c>
      <c r="O255" s="443">
        <f t="shared" si="110"/>
        <v>0.5920019159324843</v>
      </c>
      <c r="P255" s="443">
        <f t="shared" si="110"/>
        <v>0.5902761050308238</v>
      </c>
      <c r="Q255" s="443">
        <f t="shared" si="110"/>
        <v>0.5885190054291456</v>
      </c>
      <c r="R255" s="443">
        <f t="shared" si="110"/>
        <v>0.5864269967776611</v>
      </c>
      <c r="S255" s="443">
        <f t="shared" si="110"/>
        <v>0.5841944434883616</v>
      </c>
      <c r="T255" s="443">
        <f t="shared" si="110"/>
        <v>0.5815808443703946</v>
      </c>
      <c r="U255" s="443">
        <f t="shared" si="110"/>
        <v>0.578784141341634</v>
      </c>
      <c r="V255" s="443">
        <f t="shared" si="110"/>
        <v>0.576088161769087</v>
      </c>
      <c r="W255" s="443">
        <f t="shared" si="110"/>
        <v>0.5731647996041254</v>
      </c>
      <c r="X255" s="443">
        <f t="shared" si="110"/>
        <v>0.5701380899686955</v>
      </c>
      <c r="Y255" s="443">
        <f t="shared" si="110"/>
        <v>0.5672247989422048</v>
      </c>
      <c r="Z255" s="443">
        <f t="shared" si="110"/>
        <v>0.5646975203186619</v>
      </c>
      <c r="AA255" s="443">
        <f t="shared" si="110"/>
        <v>0.5626241285155099</v>
      </c>
      <c r="AB255" s="443">
        <f t="shared" si="110"/>
        <v>0.5607118486580558</v>
      </c>
      <c r="AC255" s="443">
        <f t="shared" si="110"/>
        <v>0.5588599308180302</v>
      </c>
      <c r="AD255" s="443">
        <f t="shared" si="110"/>
        <v>0.5571464313311345</v>
      </c>
      <c r="AE255" s="443">
        <f t="shared" si="110"/>
        <v>0.5554316508144934</v>
      </c>
      <c r="AF255" s="443">
        <f t="shared" si="110"/>
        <v>0.5539472497405885</v>
      </c>
      <c r="AG255" s="443">
        <f t="shared" si="110"/>
        <v>0.5523788227639224</v>
      </c>
      <c r="AH255" s="443">
        <f t="shared" si="110"/>
        <v>0.5509663030618464</v>
      </c>
      <c r="AI255" s="443">
        <f aca="true" t="shared" si="111" ref="AI255:BF255">(AI$244*SUM(AI$118:AI$122)+AI$245*SUM(AI$123:AI$127)+AI$246*SUM(AI$128:AI$132)+AI$247*SUM(AI$133:AI$137)+AI$248*SUM(AI$138:AI$142)+AI$249*SUM(AI$143:AI$147)+AI$250*SUM(AI$148:AI$152)+AI$251*SUM(AI$153:AI$157)+AI$252*SUM(AI$158:AI$162)+AI$253*SUM(AI$163:AI$167)+AI$254*SUM(AI$168:AI$193))/SUM(AI$118:AI$193)</f>
        <v>0.5498122755342529</v>
      </c>
      <c r="AJ255" s="443">
        <f t="shared" si="111"/>
        <v>0.5489094088810146</v>
      </c>
      <c r="AK255" s="443">
        <f t="shared" si="111"/>
        <v>0.5483809953286896</v>
      </c>
      <c r="AL255" s="443">
        <f t="shared" si="111"/>
        <v>0.5481955494605291</v>
      </c>
      <c r="AM255" s="443">
        <f t="shared" si="111"/>
        <v>0.5479796707978851</v>
      </c>
      <c r="AN255" s="443">
        <f t="shared" si="111"/>
        <v>0.5476011635688269</v>
      </c>
      <c r="AO255" s="443">
        <f t="shared" si="111"/>
        <v>0.5470667636442187</v>
      </c>
      <c r="AP255" s="443">
        <f t="shared" si="111"/>
        <v>0.5465690971404297</v>
      </c>
      <c r="AQ255" s="443">
        <f t="shared" si="111"/>
        <v>0.5460936423756165</v>
      </c>
      <c r="AR255" s="443">
        <f t="shared" si="111"/>
        <v>0.545643847537643</v>
      </c>
      <c r="AS255" s="443">
        <f t="shared" si="111"/>
        <v>0.5448504935839592</v>
      </c>
      <c r="AT255" s="443">
        <f t="shared" si="111"/>
        <v>0.5440790872447737</v>
      </c>
      <c r="AU255" s="443">
        <f t="shared" si="111"/>
        <v>0.5433077024075579</v>
      </c>
      <c r="AV255" s="443">
        <f t="shared" si="111"/>
        <v>0.5425845767235716</v>
      </c>
      <c r="AW255" s="443">
        <f t="shared" si="111"/>
        <v>0.5421486677788859</v>
      </c>
      <c r="AX255" s="443">
        <f t="shared" si="111"/>
        <v>0.5414761589802913</v>
      </c>
      <c r="AY255" s="443">
        <f t="shared" si="111"/>
        <v>0.5406962284821764</v>
      </c>
      <c r="AZ255" s="443">
        <f t="shared" si="111"/>
        <v>0.5396306626626918</v>
      </c>
      <c r="BA255" s="443">
        <f t="shared" si="111"/>
        <v>0.5386013001205705</v>
      </c>
      <c r="BB255" s="443">
        <f t="shared" si="111"/>
        <v>0.5378641962618362</v>
      </c>
      <c r="BC255" s="443">
        <f t="shared" si="111"/>
        <v>0.5371993704744742</v>
      </c>
      <c r="BD255" s="443">
        <f t="shared" si="111"/>
        <v>0.5367658327065945</v>
      </c>
      <c r="BE255" s="443">
        <f t="shared" si="111"/>
        <v>0.5362774083590165</v>
      </c>
      <c r="BF255" s="443">
        <f t="shared" si="111"/>
        <v>0.5360109933025745</v>
      </c>
    </row>
    <row r="256" spans="1:58" s="108" customFormat="1" ht="12.75">
      <c r="A256" s="441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</row>
    <row r="257" spans="1:58" s="108" customFormat="1" ht="12.75">
      <c r="A257" s="440" t="s">
        <v>630</v>
      </c>
      <c r="B257" s="25"/>
      <c r="C257" s="443">
        <f aca="true" t="shared" si="112" ref="C257:AH257">(C$230*SUM(C$24:C$28)+C$231*SUM(C$29:C$33)+C$232*SUM(C$34:C$38)+C$233*SUM(C$39:C$43)+C$234*SUM(C$44:C$48)+C$235*SUM(C$49:C$53)+C$236*SUM(C$54:C$58)+C$237*SUM(C$59:C$63)+C$238*SUM(C$64:C$68)+C$239*SUM(C$69:C$73)+C$240*SUM(C$74:C$99)+C$244*SUM(C$118:C$122)+C$245*SUM(C$123:C$127)+C$246*SUM(C$128:C$132)+C$247*SUM(C$133:C$137)+C$248*SUM(C$138:C$142)+C$249*SUM(C$143:C$147)+C$250*SUM(C$148:C$152)+C$251*SUM(C$153:C$157)+C$252*SUM(C$158:C$162)+C$253*SUM(C$163:C$167)+C$254*SUM(C$168:C$193))/SUM(C$24:C$99,C$118:C$193)</f>
        <v>0.6621421975870061</v>
      </c>
      <c r="D257" s="443">
        <f t="shared" si="112"/>
        <v>0.6638085061302476</v>
      </c>
      <c r="E257" s="443">
        <f t="shared" si="112"/>
        <v>0.6660609594047895</v>
      </c>
      <c r="F257" s="443">
        <f t="shared" si="112"/>
        <v>0.6609044109044112</v>
      </c>
      <c r="G257" s="443">
        <f t="shared" si="112"/>
        <v>0.6569480217267515</v>
      </c>
      <c r="H257" s="443">
        <f t="shared" si="112"/>
        <v>0.6537950352278733</v>
      </c>
      <c r="I257" s="443">
        <f t="shared" si="112"/>
        <v>0.6538382132928348</v>
      </c>
      <c r="J257" s="443">
        <f t="shared" si="112"/>
        <v>0.6559808786527732</v>
      </c>
      <c r="K257" s="443">
        <f t="shared" si="112"/>
        <v>0.6555844069581621</v>
      </c>
      <c r="L257" s="443">
        <f t="shared" si="112"/>
        <v>0.6551038616661945</v>
      </c>
      <c r="M257" s="443">
        <f t="shared" si="112"/>
        <v>0.6547599143397491</v>
      </c>
      <c r="N257" s="443">
        <f t="shared" si="112"/>
        <v>0.6543302269289153</v>
      </c>
      <c r="O257" s="443">
        <f t="shared" si="112"/>
        <v>0.6529489086647138</v>
      </c>
      <c r="P257" s="443">
        <f t="shared" si="112"/>
        <v>0.6512498835745509</v>
      </c>
      <c r="Q257" s="443">
        <f t="shared" si="112"/>
        <v>0.649553887149515</v>
      </c>
      <c r="R257" s="443">
        <f t="shared" si="112"/>
        <v>0.6474919581422909</v>
      </c>
      <c r="S257" s="443">
        <f t="shared" si="112"/>
        <v>0.6451544520949462</v>
      </c>
      <c r="T257" s="443">
        <f t="shared" si="112"/>
        <v>0.6426054218762005</v>
      </c>
      <c r="U257" s="443">
        <f t="shared" si="112"/>
        <v>0.6398689583342597</v>
      </c>
      <c r="V257" s="443">
        <f t="shared" si="112"/>
        <v>0.6372276395685758</v>
      </c>
      <c r="W257" s="443">
        <f t="shared" si="112"/>
        <v>0.6344488147037918</v>
      </c>
      <c r="X257" s="443">
        <f t="shared" si="112"/>
        <v>0.6316545442832124</v>
      </c>
      <c r="Y257" s="443">
        <f t="shared" si="112"/>
        <v>0.6290187252759281</v>
      </c>
      <c r="Z257" s="443">
        <f t="shared" si="112"/>
        <v>0.6267017759115471</v>
      </c>
      <c r="AA257" s="443">
        <f t="shared" si="112"/>
        <v>0.624855779737053</v>
      </c>
      <c r="AB257" s="443">
        <f t="shared" si="112"/>
        <v>0.6232095105338031</v>
      </c>
      <c r="AC257" s="443">
        <f t="shared" si="112"/>
        <v>0.6217201231305256</v>
      </c>
      <c r="AD257" s="443">
        <f t="shared" si="112"/>
        <v>0.6202680997587969</v>
      </c>
      <c r="AE257" s="443">
        <f t="shared" si="112"/>
        <v>0.6187924624760213</v>
      </c>
      <c r="AF257" s="443">
        <f t="shared" si="112"/>
        <v>0.6175128524706458</v>
      </c>
      <c r="AG257" s="443">
        <f t="shared" si="112"/>
        <v>0.6161491386581498</v>
      </c>
      <c r="AH257" s="443">
        <f t="shared" si="112"/>
        <v>0.6149588344816478</v>
      </c>
      <c r="AI257" s="443">
        <f aca="true" t="shared" si="113" ref="AI257:BF257">(AI$230*SUM(AI$24:AI$28)+AI$231*SUM(AI$29:AI$33)+AI$232*SUM(AI$34:AI$38)+AI$233*SUM(AI$39:AI$43)+AI$234*SUM(AI$44:AI$48)+AI$235*SUM(AI$49:AI$53)+AI$236*SUM(AI$54:AI$58)+AI$237*SUM(AI$59:AI$63)+AI$238*SUM(AI$64:AI$68)+AI$239*SUM(AI$69:AI$73)+AI$240*SUM(AI$74:AI$99)+AI$244*SUM(AI$118:AI$122)+AI$245*SUM(AI$123:AI$127)+AI$246*SUM(AI$128:AI$132)+AI$247*SUM(AI$133:AI$137)+AI$248*SUM(AI$138:AI$142)+AI$249*SUM(AI$143:AI$147)+AI$250*SUM(AI$148:AI$152)+AI$251*SUM(AI$153:AI$157)+AI$252*SUM(AI$158:AI$162)+AI$253*SUM(AI$163:AI$167)+AI$254*SUM(AI$168:AI$193))/SUM(AI$24:AI$99,AI$118:AI$193)</f>
        <v>0.6140547599450872</v>
      </c>
      <c r="AJ257" s="443">
        <f t="shared" si="113"/>
        <v>0.6134527414634804</v>
      </c>
      <c r="AK257" s="443">
        <f t="shared" si="113"/>
        <v>0.6131813918103124</v>
      </c>
      <c r="AL257" s="443">
        <f t="shared" si="113"/>
        <v>0.6132168988437152</v>
      </c>
      <c r="AM257" s="443">
        <f t="shared" si="113"/>
        <v>0.6132679282494036</v>
      </c>
      <c r="AN257" s="443">
        <f t="shared" si="113"/>
        <v>0.6132617792077301</v>
      </c>
      <c r="AO257" s="443">
        <f t="shared" si="113"/>
        <v>0.6131060349707697</v>
      </c>
      <c r="AP257" s="443">
        <f t="shared" si="113"/>
        <v>0.6128885509670453</v>
      </c>
      <c r="AQ257" s="443">
        <f t="shared" si="113"/>
        <v>0.6126008759738951</v>
      </c>
      <c r="AR257" s="443">
        <f t="shared" si="113"/>
        <v>0.6122565245883352</v>
      </c>
      <c r="AS257" s="443">
        <f t="shared" si="113"/>
        <v>0.6116106431173051</v>
      </c>
      <c r="AT257" s="443">
        <f t="shared" si="113"/>
        <v>0.611006635309154</v>
      </c>
      <c r="AU257" s="443">
        <f t="shared" si="113"/>
        <v>0.6104498547488346</v>
      </c>
      <c r="AV257" s="443">
        <f t="shared" si="113"/>
        <v>0.6098905831834663</v>
      </c>
      <c r="AW257" s="443">
        <f t="shared" si="113"/>
        <v>0.6094335970296294</v>
      </c>
      <c r="AX257" s="443">
        <f t="shared" si="113"/>
        <v>0.6087205558493712</v>
      </c>
      <c r="AY257" s="443">
        <f t="shared" si="113"/>
        <v>0.607857470267116</v>
      </c>
      <c r="AZ257" s="443">
        <f t="shared" si="113"/>
        <v>0.6067353494999006</v>
      </c>
      <c r="BA257" s="443">
        <f t="shared" si="113"/>
        <v>0.6054964093547626</v>
      </c>
      <c r="BB257" s="443">
        <f t="shared" si="113"/>
        <v>0.6045257372163838</v>
      </c>
      <c r="BC257" s="443">
        <f t="shared" si="113"/>
        <v>0.6036455426101076</v>
      </c>
      <c r="BD257" s="443">
        <f t="shared" si="113"/>
        <v>0.6029880494376463</v>
      </c>
      <c r="BE257" s="443">
        <f t="shared" si="113"/>
        <v>0.602314887694624</v>
      </c>
      <c r="BF257" s="443">
        <f t="shared" si="113"/>
        <v>0.601818901929409</v>
      </c>
    </row>
    <row r="258" spans="1:58" s="108" customFormat="1" ht="12.75">
      <c r="A258" s="440"/>
      <c r="B258" s="25"/>
      <c r="C258" s="443"/>
      <c r="D258" s="443"/>
      <c r="E258" s="443"/>
      <c r="F258" s="443"/>
      <c r="G258" s="443"/>
      <c r="H258" s="443"/>
      <c r="I258" s="443"/>
      <c r="J258" s="443"/>
      <c r="K258" s="443"/>
      <c r="L258" s="443"/>
      <c r="M258" s="443"/>
      <c r="N258" s="443"/>
      <c r="O258" s="443"/>
      <c r="P258" s="443"/>
      <c r="Q258" s="443"/>
      <c r="R258" s="443"/>
      <c r="S258" s="443"/>
      <c r="T258" s="443"/>
      <c r="U258" s="443"/>
      <c r="V258" s="443"/>
      <c r="W258" s="443"/>
      <c r="X258" s="443"/>
      <c r="Y258" s="443"/>
      <c r="Z258" s="443"/>
      <c r="AA258" s="443"/>
      <c r="AB258" s="443"/>
      <c r="AC258" s="443"/>
      <c r="AD258" s="443"/>
      <c r="AE258" s="443"/>
      <c r="AF258" s="443"/>
      <c r="AG258" s="443"/>
      <c r="AH258" s="443"/>
      <c r="AI258" s="443"/>
      <c r="AJ258" s="443"/>
      <c r="AK258" s="443"/>
      <c r="AL258" s="443"/>
      <c r="AM258" s="443"/>
      <c r="AN258" s="443"/>
      <c r="AO258" s="443"/>
      <c r="AP258" s="443"/>
      <c r="AQ258" s="443"/>
      <c r="AR258" s="443"/>
      <c r="AS258" s="443"/>
      <c r="AT258" s="443"/>
      <c r="AU258" s="443"/>
      <c r="AV258" s="443"/>
      <c r="AW258" s="443"/>
      <c r="AX258" s="443"/>
      <c r="AY258" s="443"/>
      <c r="AZ258" s="443"/>
      <c r="BA258" s="443"/>
      <c r="BB258" s="443"/>
      <c r="BC258" s="443"/>
      <c r="BD258" s="443"/>
      <c r="BE258" s="443"/>
      <c r="BF258" s="443"/>
    </row>
    <row r="259" spans="1:58" s="108" customFormat="1" ht="12.75">
      <c r="A259" s="440" t="s">
        <v>631</v>
      </c>
      <c r="B259" s="25"/>
      <c r="C259" s="443">
        <f aca="true" t="shared" si="114" ref="C259:AH259">(C$230*SUM(C$24:C$28)+C$231*SUM(C$29:C$33)+C$232*SUM(C$34:C$38)+C$233*SUM(C$39:C$43)+C$234*SUM(C$44:C$48)+C$235*SUM(C$49:C$53)+C$236*SUM(C$54:C$58)+C$237*SUM(C$59:C$63)+C$238*SUM(C$64:C$68)+C$239*SUM(C$69:C$73)+C$240*SUM(C$74:C$99)+C$244*SUM(C$118:C$122)+C$245*SUM(C$123:C$127)+C$246*SUM(C$128:C$132)+C$247*SUM(C$133:C$137)+C$248*SUM(C$138:C$142)+C$249*SUM(C$143:C$147)+C$250*SUM(C$148:C$152)+C$251*SUM(C$153:C$157)+C$252*SUM(C$158:C$162)+C$253*SUM(C$163:C$167)+C$254*SUM(C$168:C$193))/1000000</f>
        <v>2.18263256875</v>
      </c>
      <c r="D259" s="443">
        <f t="shared" si="114"/>
        <v>2.2165760875</v>
      </c>
      <c r="E259" s="443">
        <f t="shared" si="114"/>
        <v>2.2506000000000013</v>
      </c>
      <c r="F259" s="443">
        <f t="shared" si="114"/>
        <v>2.259500000000001</v>
      </c>
      <c r="G259" s="443">
        <f t="shared" si="114"/>
        <v>2.2726000000000033</v>
      </c>
      <c r="H259" s="443">
        <f t="shared" si="114"/>
        <v>2.287399999999999</v>
      </c>
      <c r="I259" s="443">
        <f t="shared" si="114"/>
        <v>2.3119000000000014</v>
      </c>
      <c r="J259" s="443">
        <f t="shared" si="114"/>
        <v>2.343799999999999</v>
      </c>
      <c r="K259" s="443">
        <f t="shared" si="114"/>
        <v>2.365859896142476</v>
      </c>
      <c r="L259" s="443">
        <f t="shared" si="114"/>
        <v>2.3885610879438786</v>
      </c>
      <c r="M259" s="443">
        <f t="shared" si="114"/>
        <v>2.41085219499553</v>
      </c>
      <c r="N259" s="443">
        <f t="shared" si="114"/>
        <v>2.431124698340769</v>
      </c>
      <c r="O259" s="443">
        <f t="shared" si="114"/>
        <v>2.4478858701167523</v>
      </c>
      <c r="P259" s="443">
        <f t="shared" si="114"/>
        <v>2.4640820844903426</v>
      </c>
      <c r="Q259" s="443">
        <f t="shared" si="114"/>
        <v>2.4798278571261894</v>
      </c>
      <c r="R259" s="443">
        <f t="shared" si="114"/>
        <v>2.4949354378726194</v>
      </c>
      <c r="S259" s="443">
        <f t="shared" si="114"/>
        <v>2.510076620587723</v>
      </c>
      <c r="T259" s="443">
        <f t="shared" si="114"/>
        <v>2.524064132370653</v>
      </c>
      <c r="U259" s="443">
        <f t="shared" si="114"/>
        <v>2.536453348216172</v>
      </c>
      <c r="V259" s="443">
        <f t="shared" si="114"/>
        <v>2.5483179365695046</v>
      </c>
      <c r="W259" s="443">
        <f t="shared" si="114"/>
        <v>2.558681313795216</v>
      </c>
      <c r="X259" s="443">
        <f t="shared" si="114"/>
        <v>2.5681115641468137</v>
      </c>
      <c r="Y259" s="443">
        <f t="shared" si="114"/>
        <v>2.57727842307306</v>
      </c>
      <c r="Z259" s="443">
        <f t="shared" si="114"/>
        <v>2.5869935958740706</v>
      </c>
      <c r="AA259" s="443">
        <f t="shared" si="114"/>
        <v>2.5978753956035816</v>
      </c>
      <c r="AB259" s="443">
        <f t="shared" si="114"/>
        <v>2.608892117186817</v>
      </c>
      <c r="AC259" s="443">
        <f t="shared" si="114"/>
        <v>2.61995346767696</v>
      </c>
      <c r="AD259" s="443">
        <f t="shared" si="114"/>
        <v>2.630408146733116</v>
      </c>
      <c r="AE259" s="443">
        <f t="shared" si="114"/>
        <v>2.6402451151188133</v>
      </c>
      <c r="AF259" s="443">
        <f t="shared" si="114"/>
        <v>2.650210784590894</v>
      </c>
      <c r="AG259" s="443">
        <f t="shared" si="114"/>
        <v>2.6591518066552964</v>
      </c>
      <c r="AH259" s="443">
        <f t="shared" si="114"/>
        <v>2.6682510365207666</v>
      </c>
      <c r="AI259" s="443">
        <f aca="true" t="shared" si="115" ref="AI259:BF259">(AI$230*SUM(AI$24:AI$28)+AI$231*SUM(AI$29:AI$33)+AI$232*SUM(AI$34:AI$38)+AI$233*SUM(AI$39:AI$43)+AI$234*SUM(AI$44:AI$48)+AI$235*SUM(AI$49:AI$53)+AI$236*SUM(AI$54:AI$58)+AI$237*SUM(AI$59:AI$63)+AI$238*SUM(AI$64:AI$68)+AI$239*SUM(AI$69:AI$73)+AI$240*SUM(AI$74:AI$99)+AI$244*SUM(AI$118:AI$122)+AI$245*SUM(AI$123:AI$127)+AI$246*SUM(AI$128:AI$132)+AI$247*SUM(AI$133:AI$137)+AI$248*SUM(AI$138:AI$142)+AI$249*SUM(AI$143:AI$147)+AI$250*SUM(AI$148:AI$152)+AI$251*SUM(AI$153:AI$157)+AI$252*SUM(AI$158:AI$162)+AI$253*SUM(AI$163:AI$167)+AI$254*SUM(AI$168:AI$193))/1000000</f>
        <v>2.678015619072514</v>
      </c>
      <c r="AJ259" s="443">
        <f t="shared" si="115"/>
        <v>2.6884627739911173</v>
      </c>
      <c r="AK259" s="443">
        <f t="shared" si="115"/>
        <v>2.6998131408851327</v>
      </c>
      <c r="AL259" s="443">
        <f t="shared" si="115"/>
        <v>2.711945602967342</v>
      </c>
      <c r="AM259" s="443">
        <f t="shared" si="115"/>
        <v>2.7236271249034036</v>
      </c>
      <c r="AN259" s="443">
        <f t="shared" si="115"/>
        <v>2.734503610398308</v>
      </c>
      <c r="AO259" s="443">
        <f t="shared" si="115"/>
        <v>2.744219695106717</v>
      </c>
      <c r="AP259" s="443">
        <f t="shared" si="115"/>
        <v>2.752991179890303</v>
      </c>
      <c r="AQ259" s="443">
        <f t="shared" si="115"/>
        <v>2.7609370139355076</v>
      </c>
      <c r="AR259" s="443">
        <f t="shared" si="115"/>
        <v>2.7680668507510764</v>
      </c>
      <c r="AS259" s="443">
        <f t="shared" si="115"/>
        <v>2.7733484612154196</v>
      </c>
      <c r="AT259" s="443">
        <f t="shared" si="115"/>
        <v>2.778302161347901</v>
      </c>
      <c r="AU259" s="443">
        <f t="shared" si="115"/>
        <v>2.7831202462810545</v>
      </c>
      <c r="AV259" s="443">
        <f t="shared" si="115"/>
        <v>2.787578097310015</v>
      </c>
      <c r="AW259" s="443">
        <f t="shared" si="115"/>
        <v>2.7921870624869207</v>
      </c>
      <c r="AX259" s="443">
        <f t="shared" si="115"/>
        <v>2.795330013338132</v>
      </c>
      <c r="AY259" s="443">
        <f t="shared" si="115"/>
        <v>2.7975606711344563</v>
      </c>
      <c r="AZ259" s="443">
        <f t="shared" si="115"/>
        <v>2.7983301727819865</v>
      </c>
      <c r="BA259" s="443">
        <f t="shared" si="115"/>
        <v>2.798331930653503</v>
      </c>
      <c r="BB259" s="443">
        <f t="shared" si="115"/>
        <v>2.7993591955557924</v>
      </c>
      <c r="BC259" s="443">
        <f t="shared" si="115"/>
        <v>2.800595385573316</v>
      </c>
      <c r="BD259" s="443">
        <f t="shared" si="115"/>
        <v>2.802724633069146</v>
      </c>
      <c r="BE259" s="443">
        <f t="shared" si="115"/>
        <v>2.804444371743816</v>
      </c>
      <c r="BF259" s="443">
        <f t="shared" si="115"/>
        <v>2.8068412312756283</v>
      </c>
    </row>
    <row r="260" spans="1:58" ht="12.75">
      <c r="A260" s="281"/>
      <c r="C260" s="433"/>
      <c r="D260" s="433"/>
      <c r="E260" s="433"/>
      <c r="F260" s="433"/>
      <c r="G260" s="433"/>
      <c r="H260" s="433"/>
      <c r="I260" s="433"/>
      <c r="J260" s="433"/>
      <c r="K260" s="433"/>
      <c r="L260" s="433"/>
      <c r="M260" s="433"/>
      <c r="N260" s="433"/>
      <c r="O260" s="433"/>
      <c r="P260" s="433"/>
      <c r="Q260" s="433"/>
      <c r="R260" s="433"/>
      <c r="S260" s="433"/>
      <c r="T260" s="433"/>
      <c r="U260" s="433"/>
      <c r="V260" s="433"/>
      <c r="W260" s="433"/>
      <c r="X260" s="433"/>
      <c r="Y260" s="433"/>
      <c r="Z260" s="433"/>
      <c r="AA260" s="433"/>
      <c r="AB260" s="433"/>
      <c r="AC260" s="433"/>
      <c r="AD260" s="433"/>
      <c r="AE260" s="433"/>
      <c r="AF260" s="433"/>
      <c r="AG260" s="433"/>
      <c r="AH260" s="433"/>
      <c r="AI260" s="433"/>
      <c r="AJ260" s="433"/>
      <c r="AK260" s="433"/>
      <c r="AL260" s="433"/>
      <c r="AM260" s="433"/>
      <c r="AN260" s="433"/>
      <c r="AO260" s="433"/>
      <c r="AP260" s="433"/>
      <c r="AQ260" s="433"/>
      <c r="AR260" s="433"/>
      <c r="AS260" s="433"/>
      <c r="AT260" s="433"/>
      <c r="AU260" s="433"/>
      <c r="AV260" s="433"/>
      <c r="AW260" s="433"/>
      <c r="AX260" s="433"/>
      <c r="AY260" s="433"/>
      <c r="AZ260" s="433"/>
      <c r="BA260" s="433"/>
      <c r="BB260" s="433"/>
      <c r="BC260" s="433"/>
      <c r="BD260" s="433"/>
      <c r="BE260" s="433"/>
      <c r="BF260" s="433"/>
    </row>
    <row r="261" spans="3:58" ht="12.75">
      <c r="C261" s="434"/>
      <c r="D261" s="434"/>
      <c r="E261" s="434"/>
      <c r="F261" s="434"/>
      <c r="G261" s="434"/>
      <c r="H261" s="434"/>
      <c r="I261" s="434"/>
      <c r="J261" s="434"/>
      <c r="K261" s="434"/>
      <c r="L261" s="434"/>
      <c r="M261" s="434"/>
      <c r="N261" s="434"/>
      <c r="O261" s="434"/>
      <c r="P261" s="434"/>
      <c r="Q261" s="434"/>
      <c r="R261" s="434"/>
      <c r="S261" s="434"/>
      <c r="T261" s="434"/>
      <c r="U261" s="434"/>
      <c r="V261" s="434"/>
      <c r="W261" s="434"/>
      <c r="X261" s="434"/>
      <c r="Y261" s="434"/>
      <c r="Z261" s="434"/>
      <c r="AA261" s="434"/>
      <c r="AB261" s="434"/>
      <c r="AC261" s="434"/>
      <c r="AD261" s="434"/>
      <c r="AE261" s="434"/>
      <c r="AF261" s="434"/>
      <c r="AG261" s="434"/>
      <c r="AH261" s="434"/>
      <c r="AI261" s="434"/>
      <c r="AJ261" s="434"/>
      <c r="AK261" s="434"/>
      <c r="AL261" s="434"/>
      <c r="AM261" s="434"/>
      <c r="AN261" s="434"/>
      <c r="AO261" s="434"/>
      <c r="AP261" s="434"/>
      <c r="AQ261" s="434"/>
      <c r="AR261" s="434"/>
      <c r="AS261" s="434"/>
      <c r="AT261" s="434"/>
      <c r="AU261" s="434"/>
      <c r="AV261" s="434"/>
      <c r="AW261" s="434"/>
      <c r="AX261" s="434"/>
      <c r="AY261" s="434"/>
      <c r="AZ261" s="434"/>
      <c r="BA261" s="434"/>
      <c r="BB261" s="434"/>
      <c r="BC261" s="434"/>
      <c r="BD261" s="434"/>
      <c r="BE261" s="434"/>
      <c r="BF261" s="434"/>
    </row>
    <row r="262" spans="1:47" ht="12.75">
      <c r="A262" s="278" t="s">
        <v>639</v>
      </c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</row>
    <row r="263" spans="1:47" ht="12.75">
      <c r="A263" s="279" t="s">
        <v>240</v>
      </c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</row>
    <row r="264" spans="1:47" ht="12.75">
      <c r="A264" s="279" t="s">
        <v>775</v>
      </c>
      <c r="B264" s="124"/>
      <c r="C264" s="280">
        <v>0.5457500000000001</v>
      </c>
      <c r="D264" s="280">
        <v>0.54425</v>
      </c>
      <c r="E264" s="280">
        <v>0.55</v>
      </c>
      <c r="F264" s="280">
        <v>0.55</v>
      </c>
      <c r="G264" s="280">
        <v>0.55</v>
      </c>
      <c r="H264" s="280">
        <v>0.55</v>
      </c>
      <c r="I264" s="280">
        <v>0.553</v>
      </c>
      <c r="J264" s="280">
        <v>0.557</v>
      </c>
      <c r="K264" s="280">
        <v>0.557</v>
      </c>
      <c r="L264" s="280">
        <v>0.557</v>
      </c>
      <c r="M264" s="280">
        <v>0.557</v>
      </c>
      <c r="N264" s="280">
        <v>0.557</v>
      </c>
      <c r="O264" s="280">
        <v>0.557</v>
      </c>
      <c r="P264" s="280">
        <v>0.557</v>
      </c>
      <c r="Q264" s="280">
        <v>0.557</v>
      </c>
      <c r="R264" s="280">
        <v>0.557</v>
      </c>
      <c r="S264" s="280">
        <v>0.557</v>
      </c>
      <c r="T264" s="280">
        <v>0.557</v>
      </c>
      <c r="U264" s="280">
        <v>0.557</v>
      </c>
      <c r="V264" s="280">
        <v>0.557</v>
      </c>
      <c r="W264" s="280">
        <v>0.557</v>
      </c>
      <c r="X264" s="280">
        <v>0.557</v>
      </c>
      <c r="Y264" s="280">
        <v>0.557</v>
      </c>
      <c r="Z264" s="280">
        <v>0.557</v>
      </c>
      <c r="AA264" s="280">
        <v>0.557</v>
      </c>
      <c r="AB264" s="280">
        <v>0.557</v>
      </c>
      <c r="AC264" s="280">
        <v>0.557</v>
      </c>
      <c r="AD264" s="280">
        <v>0.557</v>
      </c>
      <c r="AE264" s="280">
        <v>0.557</v>
      </c>
      <c r="AF264" s="280">
        <v>0.557</v>
      </c>
      <c r="AG264" s="280">
        <v>0.557</v>
      </c>
      <c r="AH264" s="280">
        <v>0.557</v>
      </c>
      <c r="AI264" s="280">
        <v>0.557</v>
      </c>
      <c r="AJ264" s="280">
        <v>0.557</v>
      </c>
      <c r="AK264" s="280">
        <v>0.557</v>
      </c>
      <c r="AL264" s="280">
        <v>0.557</v>
      </c>
      <c r="AM264" s="280">
        <v>0.557</v>
      </c>
      <c r="AN264" s="280">
        <v>0.557</v>
      </c>
      <c r="AO264" s="280">
        <v>0.557</v>
      </c>
      <c r="AP264" s="280">
        <v>0.557</v>
      </c>
      <c r="AQ264" s="280">
        <v>0.557</v>
      </c>
      <c r="AR264" s="280">
        <v>0.557</v>
      </c>
      <c r="AS264" s="280">
        <v>0.557</v>
      </c>
      <c r="AT264" s="280">
        <v>0.557</v>
      </c>
      <c r="AU264" s="280">
        <v>0.557</v>
      </c>
    </row>
    <row r="265" spans="1:47" ht="12.75">
      <c r="A265" s="279" t="s">
        <v>776</v>
      </c>
      <c r="B265" s="124"/>
      <c r="C265" s="280">
        <v>0.7979999999999998</v>
      </c>
      <c r="D265" s="280">
        <v>0.8105</v>
      </c>
      <c r="E265" s="280">
        <v>0.81074</v>
      </c>
      <c r="F265" s="280">
        <v>0.81098</v>
      </c>
      <c r="G265" s="280">
        <v>0.8112199999999999</v>
      </c>
      <c r="H265" s="280">
        <v>0.81146</v>
      </c>
      <c r="I265" s="280">
        <v>0.8117</v>
      </c>
      <c r="J265" s="280">
        <v>0.81248</v>
      </c>
      <c r="K265" s="280">
        <v>0.81326</v>
      </c>
      <c r="L265" s="280">
        <v>0.81404</v>
      </c>
      <c r="M265" s="280">
        <v>0.81482</v>
      </c>
      <c r="N265" s="280">
        <v>0.8156</v>
      </c>
      <c r="O265" s="280">
        <v>0.81584</v>
      </c>
      <c r="P265" s="280">
        <v>0.81608</v>
      </c>
      <c r="Q265" s="280">
        <v>0.8163199999999999</v>
      </c>
      <c r="R265" s="280">
        <v>0.81656</v>
      </c>
      <c r="S265" s="280">
        <v>0.8168</v>
      </c>
      <c r="T265" s="280">
        <v>0.8168</v>
      </c>
      <c r="U265" s="280">
        <v>0.8168</v>
      </c>
      <c r="V265" s="280">
        <v>0.8168</v>
      </c>
      <c r="W265" s="280">
        <v>0.8168</v>
      </c>
      <c r="X265" s="280">
        <v>0.8168</v>
      </c>
      <c r="Y265" s="280">
        <v>0.8168</v>
      </c>
      <c r="Z265" s="280">
        <v>0.8168</v>
      </c>
      <c r="AA265" s="280">
        <v>0.8168</v>
      </c>
      <c r="AB265" s="280">
        <v>0.8168</v>
      </c>
      <c r="AC265" s="280">
        <v>0.8168</v>
      </c>
      <c r="AD265" s="280">
        <v>0.8168</v>
      </c>
      <c r="AE265" s="280">
        <v>0.8168</v>
      </c>
      <c r="AF265" s="280">
        <v>0.8168</v>
      </c>
      <c r="AG265" s="280">
        <v>0.8168</v>
      </c>
      <c r="AH265" s="280">
        <v>0.8168</v>
      </c>
      <c r="AI265" s="280">
        <v>0.8168</v>
      </c>
      <c r="AJ265" s="280">
        <v>0.8168</v>
      </c>
      <c r="AK265" s="280">
        <v>0.8168</v>
      </c>
      <c r="AL265" s="280">
        <v>0.8168</v>
      </c>
      <c r="AM265" s="280">
        <v>0.8168</v>
      </c>
      <c r="AN265" s="280">
        <v>0.8168</v>
      </c>
      <c r="AO265" s="280">
        <v>0.8168</v>
      </c>
      <c r="AP265" s="280">
        <v>0.8168</v>
      </c>
      <c r="AQ265" s="280">
        <v>0.8168</v>
      </c>
      <c r="AR265" s="280">
        <v>0.8168</v>
      </c>
      <c r="AS265" s="280">
        <v>0.8168</v>
      </c>
      <c r="AT265" s="280">
        <v>0.8168</v>
      </c>
      <c r="AU265" s="280">
        <v>0.8168</v>
      </c>
    </row>
    <row r="266" spans="1:47" ht="12.75">
      <c r="A266" s="279" t="s">
        <v>777</v>
      </c>
      <c r="B266" s="124"/>
      <c r="C266" s="280">
        <v>0.9064999999999999</v>
      </c>
      <c r="D266" s="280">
        <v>0.9142500000000001</v>
      </c>
      <c r="E266" s="280">
        <v>0.9150400000000001</v>
      </c>
      <c r="F266" s="280">
        <v>0.91583</v>
      </c>
      <c r="G266" s="280">
        <v>0.9166200000000001</v>
      </c>
      <c r="H266" s="280">
        <v>0.9174100000000001</v>
      </c>
      <c r="I266" s="280">
        <v>0.9182</v>
      </c>
      <c r="J266" s="280">
        <v>0.918296</v>
      </c>
      <c r="K266" s="280">
        <v>0.918392</v>
      </c>
      <c r="L266" s="280">
        <v>0.918488</v>
      </c>
      <c r="M266" s="280">
        <v>0.918584</v>
      </c>
      <c r="N266" s="280">
        <v>0.9186799999999999</v>
      </c>
      <c r="O266" s="280">
        <v>0.9189919999999999</v>
      </c>
      <c r="P266" s="280">
        <v>0.9193039999999999</v>
      </c>
      <c r="Q266" s="280">
        <v>0.919616</v>
      </c>
      <c r="R266" s="280">
        <v>0.919928</v>
      </c>
      <c r="S266" s="280">
        <v>0.92024</v>
      </c>
      <c r="T266" s="280">
        <v>0.9203359999999999</v>
      </c>
      <c r="U266" s="280">
        <v>0.9204319999999999</v>
      </c>
      <c r="V266" s="280">
        <v>0.920528</v>
      </c>
      <c r="W266" s="280">
        <v>0.920624</v>
      </c>
      <c r="X266" s="280">
        <v>0.92072</v>
      </c>
      <c r="Y266" s="280">
        <v>0.92072</v>
      </c>
      <c r="Z266" s="280">
        <v>0.92072</v>
      </c>
      <c r="AA266" s="280">
        <v>0.92072</v>
      </c>
      <c r="AB266" s="280">
        <v>0.92072</v>
      </c>
      <c r="AC266" s="280">
        <v>0.92072</v>
      </c>
      <c r="AD266" s="280">
        <v>0.92072</v>
      </c>
      <c r="AE266" s="280">
        <v>0.92072</v>
      </c>
      <c r="AF266" s="280">
        <v>0.92072</v>
      </c>
      <c r="AG266" s="280">
        <v>0.92072</v>
      </c>
      <c r="AH266" s="280">
        <v>0.92072</v>
      </c>
      <c r="AI266" s="280">
        <v>0.92072</v>
      </c>
      <c r="AJ266" s="280">
        <v>0.92072</v>
      </c>
      <c r="AK266" s="280">
        <v>0.92072</v>
      </c>
      <c r="AL266" s="280">
        <v>0.92072</v>
      </c>
      <c r="AM266" s="280">
        <v>0.92072</v>
      </c>
      <c r="AN266" s="280">
        <v>0.92072</v>
      </c>
      <c r="AO266" s="280">
        <v>0.92072</v>
      </c>
      <c r="AP266" s="280">
        <v>0.92072</v>
      </c>
      <c r="AQ266" s="280">
        <v>0.92072</v>
      </c>
      <c r="AR266" s="280">
        <v>0.92072</v>
      </c>
      <c r="AS266" s="280">
        <v>0.92072</v>
      </c>
      <c r="AT266" s="280">
        <v>0.92072</v>
      </c>
      <c r="AU266" s="280">
        <v>0.92072</v>
      </c>
    </row>
    <row r="267" spans="1:47" ht="12.75">
      <c r="A267" s="279" t="s">
        <v>778</v>
      </c>
      <c r="B267" s="124"/>
      <c r="C267" s="280">
        <v>0.9272500000000001</v>
      </c>
      <c r="D267" s="280">
        <v>0.9225</v>
      </c>
      <c r="E267" s="280">
        <v>0.92691</v>
      </c>
      <c r="F267" s="280">
        <v>0.93132</v>
      </c>
      <c r="G267" s="280">
        <v>0.9357300000000001</v>
      </c>
      <c r="H267" s="280">
        <v>0.9401400000000001</v>
      </c>
      <c r="I267" s="280">
        <v>0.9445500000000001</v>
      </c>
      <c r="J267" s="280">
        <v>0.9450240000000001</v>
      </c>
      <c r="K267" s="280">
        <v>0.9454980000000001</v>
      </c>
      <c r="L267" s="280">
        <v>0.945972</v>
      </c>
      <c r="M267" s="280">
        <v>0.946446</v>
      </c>
      <c r="N267" s="280">
        <v>0.94692</v>
      </c>
      <c r="O267" s="280">
        <v>0.9469776</v>
      </c>
      <c r="P267" s="280">
        <v>0.9470352</v>
      </c>
      <c r="Q267" s="280">
        <v>0.9470928</v>
      </c>
      <c r="R267" s="280">
        <v>0.9471504</v>
      </c>
      <c r="S267" s="280">
        <v>0.9472079999999999</v>
      </c>
      <c r="T267" s="280">
        <v>0.9473952</v>
      </c>
      <c r="U267" s="280">
        <v>0.9475823999999999</v>
      </c>
      <c r="V267" s="280">
        <v>0.9477696</v>
      </c>
      <c r="W267" s="280">
        <v>0.9479567999999999</v>
      </c>
      <c r="X267" s="280">
        <v>0.948144</v>
      </c>
      <c r="Y267" s="280">
        <v>0.9482016</v>
      </c>
      <c r="Z267" s="280">
        <v>0.9482592</v>
      </c>
      <c r="AA267" s="280">
        <v>0.9483168</v>
      </c>
      <c r="AB267" s="280">
        <v>0.9483744</v>
      </c>
      <c r="AC267" s="280">
        <v>0.9484319999999999</v>
      </c>
      <c r="AD267" s="280">
        <v>0.9484319999999999</v>
      </c>
      <c r="AE267" s="280">
        <v>0.9484319999999999</v>
      </c>
      <c r="AF267" s="280">
        <v>0.9484319999999999</v>
      </c>
      <c r="AG267" s="280">
        <v>0.9484319999999999</v>
      </c>
      <c r="AH267" s="280">
        <v>0.9484319999999999</v>
      </c>
      <c r="AI267" s="280">
        <v>0.9484319999999999</v>
      </c>
      <c r="AJ267" s="280">
        <v>0.9484319999999999</v>
      </c>
      <c r="AK267" s="280">
        <v>0.9484319999999999</v>
      </c>
      <c r="AL267" s="280">
        <v>0.9484319999999999</v>
      </c>
      <c r="AM267" s="280">
        <v>0.9484319999999999</v>
      </c>
      <c r="AN267" s="280">
        <v>0.9484319999999999</v>
      </c>
      <c r="AO267" s="280">
        <v>0.9484319999999999</v>
      </c>
      <c r="AP267" s="280">
        <v>0.9484319999999999</v>
      </c>
      <c r="AQ267" s="280">
        <v>0.9484319999999999</v>
      </c>
      <c r="AR267" s="280">
        <v>0.9484319999999999</v>
      </c>
      <c r="AS267" s="280">
        <v>0.9484319999999999</v>
      </c>
      <c r="AT267" s="280">
        <v>0.9484319999999999</v>
      </c>
      <c r="AU267" s="280">
        <v>0.9484319999999999</v>
      </c>
    </row>
    <row r="268" spans="1:47" ht="12.75">
      <c r="A268" s="279" t="s">
        <v>779</v>
      </c>
      <c r="B268" s="124"/>
      <c r="C268" s="280">
        <v>0.9375</v>
      </c>
      <c r="D268" s="280">
        <v>0.93125</v>
      </c>
      <c r="E268" s="280">
        <v>0.93355</v>
      </c>
      <c r="F268" s="280">
        <v>0.93585</v>
      </c>
      <c r="G268" s="280">
        <v>0.93815</v>
      </c>
      <c r="H268" s="280">
        <v>0.94045</v>
      </c>
      <c r="I268" s="280">
        <v>0.94275</v>
      </c>
      <c r="J268" s="280">
        <v>0.945837</v>
      </c>
      <c r="K268" s="280">
        <v>0.948924</v>
      </c>
      <c r="L268" s="280">
        <v>0.952011</v>
      </c>
      <c r="M268" s="280">
        <v>0.955098</v>
      </c>
      <c r="N268" s="280">
        <v>0.9581850000000001</v>
      </c>
      <c r="O268" s="280">
        <v>0.9585168000000001</v>
      </c>
      <c r="P268" s="280">
        <v>0.9588486</v>
      </c>
      <c r="Q268" s="280">
        <v>0.9591804</v>
      </c>
      <c r="R268" s="280">
        <v>0.9595122</v>
      </c>
      <c r="S268" s="280">
        <v>0.959844</v>
      </c>
      <c r="T268" s="280">
        <v>0.95988432</v>
      </c>
      <c r="U268" s="280">
        <v>0.95992464</v>
      </c>
      <c r="V268" s="280">
        <v>0.95996496</v>
      </c>
      <c r="W268" s="280">
        <v>0.96000528</v>
      </c>
      <c r="X268" s="280">
        <v>0.9600455999999999</v>
      </c>
      <c r="Y268" s="280">
        <v>0.9601766399999999</v>
      </c>
      <c r="Z268" s="280">
        <v>0.96030768</v>
      </c>
      <c r="AA268" s="280">
        <v>0.96043872</v>
      </c>
      <c r="AB268" s="280">
        <v>0.96056976</v>
      </c>
      <c r="AC268" s="280">
        <v>0.9607008</v>
      </c>
      <c r="AD268" s="280">
        <v>0.96074112</v>
      </c>
      <c r="AE268" s="280">
        <v>0.96078144</v>
      </c>
      <c r="AF268" s="280">
        <v>0.96082176</v>
      </c>
      <c r="AG268" s="280">
        <v>0.96086208</v>
      </c>
      <c r="AH268" s="280">
        <v>0.9609023999999999</v>
      </c>
      <c r="AI268" s="280">
        <v>0.9609023999999999</v>
      </c>
      <c r="AJ268" s="280">
        <v>0.9609023999999999</v>
      </c>
      <c r="AK268" s="280">
        <v>0.9609023999999999</v>
      </c>
      <c r="AL268" s="280">
        <v>0.9609023999999999</v>
      </c>
      <c r="AM268" s="280">
        <v>0.9609023999999999</v>
      </c>
      <c r="AN268" s="280">
        <v>0.9609023999999999</v>
      </c>
      <c r="AO268" s="280">
        <v>0.9609023999999999</v>
      </c>
      <c r="AP268" s="280">
        <v>0.9609023999999999</v>
      </c>
      <c r="AQ268" s="280">
        <v>0.9609023999999999</v>
      </c>
      <c r="AR268" s="280">
        <v>0.9609023999999999</v>
      </c>
      <c r="AS268" s="280">
        <v>0.9609023999999999</v>
      </c>
      <c r="AT268" s="280">
        <v>0.9609023999999999</v>
      </c>
      <c r="AU268" s="280">
        <v>0.9609023999999999</v>
      </c>
    </row>
    <row r="269" spans="1:47" ht="12.75">
      <c r="A269" s="279" t="s">
        <v>780</v>
      </c>
      <c r="B269" s="124"/>
      <c r="C269" s="280">
        <v>0.9357500000000001</v>
      </c>
      <c r="D269" s="280">
        <v>0.9279999999999999</v>
      </c>
      <c r="E269" s="280">
        <v>0.9309999999999999</v>
      </c>
      <c r="F269" s="280">
        <v>0.9339999999999999</v>
      </c>
      <c r="G269" s="280">
        <v>0.937</v>
      </c>
      <c r="H269" s="280">
        <v>0.94</v>
      </c>
      <c r="I269" s="280">
        <v>0.9430000000000001</v>
      </c>
      <c r="J269" s="280">
        <v>0.94484</v>
      </c>
      <c r="K269" s="280">
        <v>0.94668</v>
      </c>
      <c r="L269" s="280">
        <v>0.94852</v>
      </c>
      <c r="M269" s="280">
        <v>0.95036</v>
      </c>
      <c r="N269" s="280">
        <v>0.9521999999999999</v>
      </c>
      <c r="O269" s="280">
        <v>0.9546696</v>
      </c>
      <c r="P269" s="280">
        <v>0.9571392</v>
      </c>
      <c r="Q269" s="280">
        <v>0.9596088</v>
      </c>
      <c r="R269" s="280">
        <v>0.9620784</v>
      </c>
      <c r="S269" s="280">
        <v>0.9645480000000001</v>
      </c>
      <c r="T269" s="280">
        <v>0.96481344</v>
      </c>
      <c r="U269" s="280">
        <v>0.9650788800000001</v>
      </c>
      <c r="V269" s="280">
        <v>0.96534432</v>
      </c>
      <c r="W269" s="280">
        <v>0.9656097600000001</v>
      </c>
      <c r="X269" s="280">
        <v>0.9658752</v>
      </c>
      <c r="Y269" s="280">
        <v>0.965907456</v>
      </c>
      <c r="Z269" s="280">
        <v>0.9659397120000001</v>
      </c>
      <c r="AA269" s="280">
        <v>0.965971968</v>
      </c>
      <c r="AB269" s="280">
        <v>0.966004224</v>
      </c>
      <c r="AC269" s="280">
        <v>0.96603648</v>
      </c>
      <c r="AD269" s="280">
        <v>0.966141312</v>
      </c>
      <c r="AE269" s="280">
        <v>0.966246144</v>
      </c>
      <c r="AF269" s="280">
        <v>0.966350976</v>
      </c>
      <c r="AG269" s="280">
        <v>0.966455808</v>
      </c>
      <c r="AH269" s="280">
        <v>0.96656064</v>
      </c>
      <c r="AI269" s="280">
        <v>0.966592896</v>
      </c>
      <c r="AJ269" s="280">
        <v>0.966625152</v>
      </c>
      <c r="AK269" s="280">
        <v>0.9666574079999999</v>
      </c>
      <c r="AL269" s="280">
        <v>0.9666896639999999</v>
      </c>
      <c r="AM269" s="280">
        <v>0.9667219199999999</v>
      </c>
      <c r="AN269" s="280">
        <v>0.9667219199999999</v>
      </c>
      <c r="AO269" s="280">
        <v>0.9667219199999999</v>
      </c>
      <c r="AP269" s="280">
        <v>0.9667219199999999</v>
      </c>
      <c r="AQ269" s="280">
        <v>0.9667219199999999</v>
      </c>
      <c r="AR269" s="280">
        <v>0.9667219199999999</v>
      </c>
      <c r="AS269" s="280">
        <v>0.9667219199999999</v>
      </c>
      <c r="AT269" s="280">
        <v>0.9667219199999999</v>
      </c>
      <c r="AU269" s="280">
        <v>0.9667219199999999</v>
      </c>
    </row>
    <row r="270" spans="1:47" ht="12.75">
      <c r="A270" s="279" t="s">
        <v>781</v>
      </c>
      <c r="B270" s="124"/>
      <c r="C270" s="280">
        <v>0.9305</v>
      </c>
      <c r="D270" s="280">
        <v>0.9307500000000001</v>
      </c>
      <c r="E270" s="280">
        <v>0.9326800000000001</v>
      </c>
      <c r="F270" s="280">
        <v>0.93461</v>
      </c>
      <c r="G270" s="280">
        <v>0.9365399999999999</v>
      </c>
      <c r="H270" s="280">
        <v>0.9384699999999999</v>
      </c>
      <c r="I270" s="280">
        <v>0.9403999999999999</v>
      </c>
      <c r="J270" s="280">
        <v>0.9428</v>
      </c>
      <c r="K270" s="280">
        <v>0.9451999999999999</v>
      </c>
      <c r="L270" s="280">
        <v>0.9476</v>
      </c>
      <c r="M270" s="280">
        <v>0.95</v>
      </c>
      <c r="N270" s="280">
        <v>0.9524</v>
      </c>
      <c r="O270" s="280">
        <v>0.953872</v>
      </c>
      <c r="P270" s="280">
        <v>0.955344</v>
      </c>
      <c r="Q270" s="280">
        <v>0.956816</v>
      </c>
      <c r="R270" s="280">
        <v>0.9582879999999999</v>
      </c>
      <c r="S270" s="280">
        <v>0.95976</v>
      </c>
      <c r="T270" s="280">
        <v>0.96173568</v>
      </c>
      <c r="U270" s="280">
        <v>0.96371136</v>
      </c>
      <c r="V270" s="280">
        <v>0.9656870399999999</v>
      </c>
      <c r="W270" s="280">
        <v>0.96766272</v>
      </c>
      <c r="X270" s="280">
        <v>0.9696384</v>
      </c>
      <c r="Y270" s="280">
        <v>0.969850752</v>
      </c>
      <c r="Z270" s="280">
        <v>0.9700631040000001</v>
      </c>
      <c r="AA270" s="280">
        <v>0.970275456</v>
      </c>
      <c r="AB270" s="280">
        <v>0.970487808</v>
      </c>
      <c r="AC270" s="280">
        <v>0.97070016</v>
      </c>
      <c r="AD270" s="280">
        <v>0.9707259648000001</v>
      </c>
      <c r="AE270" s="280">
        <v>0.9707517696</v>
      </c>
      <c r="AF270" s="280">
        <v>0.9707775744</v>
      </c>
      <c r="AG270" s="280">
        <v>0.9708033791999999</v>
      </c>
      <c r="AH270" s="280">
        <v>0.970829184</v>
      </c>
      <c r="AI270" s="280">
        <v>0.9709130495999999</v>
      </c>
      <c r="AJ270" s="280">
        <v>0.9709969152</v>
      </c>
      <c r="AK270" s="280">
        <v>0.9710807807999999</v>
      </c>
      <c r="AL270" s="280">
        <v>0.9711646464</v>
      </c>
      <c r="AM270" s="280">
        <v>0.971248512</v>
      </c>
      <c r="AN270" s="280">
        <v>0.9712743168</v>
      </c>
      <c r="AO270" s="280">
        <v>0.9713001215999999</v>
      </c>
      <c r="AP270" s="280">
        <v>0.9713259263999999</v>
      </c>
      <c r="AQ270" s="280">
        <v>0.9713517311999998</v>
      </c>
      <c r="AR270" s="280">
        <v>0.9713775359999999</v>
      </c>
      <c r="AS270" s="280">
        <v>0.9713775359999999</v>
      </c>
      <c r="AT270" s="280">
        <v>0.9713775359999999</v>
      </c>
      <c r="AU270" s="280">
        <v>0.9713775359999999</v>
      </c>
    </row>
    <row r="271" spans="1:47" ht="12.75">
      <c r="A271" s="279" t="s">
        <v>782</v>
      </c>
      <c r="B271" s="124"/>
      <c r="C271" s="280">
        <v>0.91775</v>
      </c>
      <c r="D271" s="280">
        <v>0.9117499999999998</v>
      </c>
      <c r="E271" s="280">
        <v>0.9118269999999998</v>
      </c>
      <c r="F271" s="280">
        <v>0.9119039999999999</v>
      </c>
      <c r="G271" s="280">
        <v>0.9119809999999999</v>
      </c>
      <c r="H271" s="280">
        <v>0.912058</v>
      </c>
      <c r="I271" s="280">
        <v>0.912135</v>
      </c>
      <c r="J271" s="280">
        <v>0.9140264</v>
      </c>
      <c r="K271" s="280">
        <v>0.9159178</v>
      </c>
      <c r="L271" s="280">
        <v>0.9178091999999999</v>
      </c>
      <c r="M271" s="280">
        <v>0.9197005999999999</v>
      </c>
      <c r="N271" s="280">
        <v>0.9215919999999999</v>
      </c>
      <c r="O271" s="280">
        <v>0.9239439999999999</v>
      </c>
      <c r="P271" s="280">
        <v>0.9262959999999999</v>
      </c>
      <c r="Q271" s="280">
        <v>0.928648</v>
      </c>
      <c r="R271" s="280">
        <v>0.931</v>
      </c>
      <c r="S271" s="280">
        <v>0.9333520000000001</v>
      </c>
      <c r="T271" s="280">
        <v>0.93479456</v>
      </c>
      <c r="U271" s="280">
        <v>0.93623712</v>
      </c>
      <c r="V271" s="280">
        <v>0.93767968</v>
      </c>
      <c r="W271" s="280">
        <v>0.93912224</v>
      </c>
      <c r="X271" s="280">
        <v>0.9405648</v>
      </c>
      <c r="Y271" s="280">
        <v>0.9425009664</v>
      </c>
      <c r="Z271" s="280">
        <v>0.9444371328</v>
      </c>
      <c r="AA271" s="280">
        <v>0.9463732992</v>
      </c>
      <c r="AB271" s="280">
        <v>0.9483094656</v>
      </c>
      <c r="AC271" s="280">
        <v>0.950245632</v>
      </c>
      <c r="AD271" s="280">
        <v>0.95045373696</v>
      </c>
      <c r="AE271" s="280">
        <v>0.95066184192</v>
      </c>
      <c r="AF271" s="280">
        <v>0.95086994688</v>
      </c>
      <c r="AG271" s="280">
        <v>0.95107805184</v>
      </c>
      <c r="AH271" s="280">
        <v>0.9512861568000001</v>
      </c>
      <c r="AI271" s="280">
        <v>0.951311445504</v>
      </c>
      <c r="AJ271" s="280">
        <v>0.951336734208</v>
      </c>
      <c r="AK271" s="280">
        <v>0.951362022912</v>
      </c>
      <c r="AL271" s="280">
        <v>0.951387311616</v>
      </c>
      <c r="AM271" s="280">
        <v>0.95141260032</v>
      </c>
      <c r="AN271" s="280">
        <v>0.951494788608</v>
      </c>
      <c r="AO271" s="280">
        <v>0.951576976896</v>
      </c>
      <c r="AP271" s="280">
        <v>0.951659165184</v>
      </c>
      <c r="AQ271" s="280">
        <v>0.951741353472</v>
      </c>
      <c r="AR271" s="280">
        <v>0.95182354176</v>
      </c>
      <c r="AS271" s="280">
        <v>0.9518488304639999</v>
      </c>
      <c r="AT271" s="280">
        <v>0.9518741191679999</v>
      </c>
      <c r="AU271" s="280">
        <v>0.9518994078719999</v>
      </c>
    </row>
    <row r="272" spans="1:47" ht="12.75">
      <c r="A272" s="279" t="s">
        <v>783</v>
      </c>
      <c r="B272" s="124"/>
      <c r="C272" s="280">
        <v>0.8664999999999999</v>
      </c>
      <c r="D272" s="280">
        <v>0.8725</v>
      </c>
      <c r="E272" s="280">
        <v>0.8748795</v>
      </c>
      <c r="F272" s="280">
        <v>0.877259</v>
      </c>
      <c r="G272" s="280">
        <v>0.8796384999999999</v>
      </c>
      <c r="H272" s="280">
        <v>0.8820179999999999</v>
      </c>
      <c r="I272" s="280">
        <v>0.8843974999999998</v>
      </c>
      <c r="J272" s="280">
        <v>0.8844721899999999</v>
      </c>
      <c r="K272" s="280">
        <v>0.8845468799999999</v>
      </c>
      <c r="L272" s="280">
        <v>0.88462157</v>
      </c>
      <c r="M272" s="280">
        <v>0.88469626</v>
      </c>
      <c r="N272" s="280">
        <v>0.8847709500000001</v>
      </c>
      <c r="O272" s="280">
        <v>0.886605608</v>
      </c>
      <c r="P272" s="280">
        <v>0.8884402659999999</v>
      </c>
      <c r="Q272" s="280">
        <v>0.890274924</v>
      </c>
      <c r="R272" s="280">
        <v>0.8921095819999999</v>
      </c>
      <c r="S272" s="280">
        <v>0.8939442399999998</v>
      </c>
      <c r="T272" s="280">
        <v>0.8962256799999999</v>
      </c>
      <c r="U272" s="280">
        <v>0.89850712</v>
      </c>
      <c r="V272" s="280">
        <v>0.90078856</v>
      </c>
      <c r="W272" s="280">
        <v>0.90307</v>
      </c>
      <c r="X272" s="280">
        <v>0.9053514400000001</v>
      </c>
      <c r="Y272" s="280">
        <v>0.9067507232</v>
      </c>
      <c r="Z272" s="280">
        <v>0.9081500064000001</v>
      </c>
      <c r="AA272" s="280">
        <v>0.9095492896</v>
      </c>
      <c r="AB272" s="280">
        <v>0.9109485728000001</v>
      </c>
      <c r="AC272" s="280">
        <v>0.912347856</v>
      </c>
      <c r="AD272" s="280">
        <v>0.9142259374080001</v>
      </c>
      <c r="AE272" s="280">
        <v>0.916104018816</v>
      </c>
      <c r="AF272" s="280">
        <v>0.9179821002240001</v>
      </c>
      <c r="AG272" s="280">
        <v>0.919860181632</v>
      </c>
      <c r="AH272" s="280">
        <v>0.9217382630400001</v>
      </c>
      <c r="AI272" s="280">
        <v>0.9219401248512</v>
      </c>
      <c r="AJ272" s="280">
        <v>0.9221419866624001</v>
      </c>
      <c r="AK272" s="280">
        <v>0.9223438484736001</v>
      </c>
      <c r="AL272" s="280">
        <v>0.9225457102848001</v>
      </c>
      <c r="AM272" s="280">
        <v>0.9227475720960001</v>
      </c>
      <c r="AN272" s="280">
        <v>0.9227721021388801</v>
      </c>
      <c r="AO272" s="280">
        <v>0.92279663218176</v>
      </c>
      <c r="AP272" s="280">
        <v>0.9228211622246401</v>
      </c>
      <c r="AQ272" s="280">
        <v>0.92284569226752</v>
      </c>
      <c r="AR272" s="280">
        <v>0.9228702223104</v>
      </c>
      <c r="AS272" s="280">
        <v>0.9229499449497599</v>
      </c>
      <c r="AT272" s="280">
        <v>0.92302966758912</v>
      </c>
      <c r="AU272" s="280">
        <v>0.9231093902284799</v>
      </c>
    </row>
    <row r="273" spans="1:47" ht="12.75">
      <c r="A273" s="279" t="s">
        <v>784</v>
      </c>
      <c r="B273" s="124"/>
      <c r="C273" s="280">
        <v>0.7292500000000001</v>
      </c>
      <c r="D273" s="280">
        <v>0.7519999999999999</v>
      </c>
      <c r="E273" s="280">
        <v>0.7673749999999999</v>
      </c>
      <c r="F273" s="280">
        <v>0.78275</v>
      </c>
      <c r="G273" s="280">
        <v>0.798125</v>
      </c>
      <c r="H273" s="280">
        <v>0.8135</v>
      </c>
      <c r="I273" s="280">
        <v>0.828875</v>
      </c>
      <c r="J273" s="280">
        <v>0.831135525</v>
      </c>
      <c r="K273" s="280">
        <v>0.8333960499999999</v>
      </c>
      <c r="L273" s="280">
        <v>0.8356565749999999</v>
      </c>
      <c r="M273" s="280">
        <v>0.8379170999999999</v>
      </c>
      <c r="N273" s="280">
        <v>0.8401776249999998</v>
      </c>
      <c r="O273" s="280">
        <v>0.8402485804999998</v>
      </c>
      <c r="P273" s="280">
        <v>0.8403195359999999</v>
      </c>
      <c r="Q273" s="280">
        <v>0.8403904915</v>
      </c>
      <c r="R273" s="280">
        <v>0.840461447</v>
      </c>
      <c r="S273" s="280">
        <v>0.8405324025</v>
      </c>
      <c r="T273" s="280">
        <v>0.8422753276</v>
      </c>
      <c r="U273" s="280">
        <v>0.8440182527</v>
      </c>
      <c r="V273" s="280">
        <v>0.8457611777999999</v>
      </c>
      <c r="W273" s="280">
        <v>0.8475041028999999</v>
      </c>
      <c r="X273" s="280">
        <v>0.8492470279999998</v>
      </c>
      <c r="Y273" s="280">
        <v>0.8514143959999999</v>
      </c>
      <c r="Z273" s="280">
        <v>0.853581764</v>
      </c>
      <c r="AA273" s="280">
        <v>0.855749132</v>
      </c>
      <c r="AB273" s="280">
        <v>0.8579165000000001</v>
      </c>
      <c r="AC273" s="280">
        <v>0.8600838680000001</v>
      </c>
      <c r="AD273" s="280">
        <v>0.8614131870400001</v>
      </c>
      <c r="AE273" s="280">
        <v>0.8627425060800001</v>
      </c>
      <c r="AF273" s="280">
        <v>0.86407182512</v>
      </c>
      <c r="AG273" s="280">
        <v>0.86540114416</v>
      </c>
      <c r="AH273" s="280">
        <v>0.8667304632</v>
      </c>
      <c r="AI273" s="280">
        <v>0.8685146405376001</v>
      </c>
      <c r="AJ273" s="280">
        <v>0.8702988178752</v>
      </c>
      <c r="AK273" s="280">
        <v>0.8720829952128001</v>
      </c>
      <c r="AL273" s="280">
        <v>0.8738671725504</v>
      </c>
      <c r="AM273" s="280">
        <v>0.8756513498880001</v>
      </c>
      <c r="AN273" s="280">
        <v>0.8758431186086401</v>
      </c>
      <c r="AO273" s="280">
        <v>0.87603488732928</v>
      </c>
      <c r="AP273" s="280">
        <v>0.8762266560499201</v>
      </c>
      <c r="AQ273" s="280">
        <v>0.8764184247705601</v>
      </c>
      <c r="AR273" s="280">
        <v>0.8766101934912001</v>
      </c>
      <c r="AS273" s="280">
        <v>0.876633497031936</v>
      </c>
      <c r="AT273" s="280">
        <v>0.876656800572672</v>
      </c>
      <c r="AU273" s="280">
        <v>0.876680104113408</v>
      </c>
    </row>
    <row r="274" spans="1:47" ht="12.75">
      <c r="A274" s="279" t="s">
        <v>627</v>
      </c>
      <c r="B274" s="124"/>
      <c r="C274" s="280">
        <v>0.16375</v>
      </c>
      <c r="D274" s="280">
        <v>0.191</v>
      </c>
      <c r="E274" s="280">
        <v>0.19641599999999998</v>
      </c>
      <c r="F274" s="280">
        <v>0.20183199999999998</v>
      </c>
      <c r="G274" s="280">
        <v>0.20724799999999996</v>
      </c>
      <c r="H274" s="280">
        <v>0.21266399999999996</v>
      </c>
      <c r="I274" s="280">
        <v>0.21807999999999994</v>
      </c>
      <c r="J274" s="280">
        <v>0.22253874999999995</v>
      </c>
      <c r="K274" s="280">
        <v>0.2269975</v>
      </c>
      <c r="L274" s="280">
        <v>0.23145625</v>
      </c>
      <c r="M274" s="280">
        <v>0.23591500000000004</v>
      </c>
      <c r="N274" s="280">
        <v>0.24037375000000005</v>
      </c>
      <c r="O274" s="280">
        <v>0.24102930225000002</v>
      </c>
      <c r="P274" s="280">
        <v>0.24168485450000002</v>
      </c>
      <c r="Q274" s="280">
        <v>0.24234040675</v>
      </c>
      <c r="R274" s="280">
        <v>0.24299595899999998</v>
      </c>
      <c r="S274" s="280">
        <v>0.24365151124999995</v>
      </c>
      <c r="T274" s="280">
        <v>0.24367208834499998</v>
      </c>
      <c r="U274" s="280">
        <v>0.24369266544</v>
      </c>
      <c r="V274" s="280">
        <v>0.24371324253500004</v>
      </c>
      <c r="W274" s="280">
        <v>0.24373381963000007</v>
      </c>
      <c r="X274" s="280">
        <v>0.2437543967250001</v>
      </c>
      <c r="Y274" s="280">
        <v>0.24425984500400008</v>
      </c>
      <c r="Z274" s="280">
        <v>0.24476529328300006</v>
      </c>
      <c r="AA274" s="280">
        <v>0.24527074156200007</v>
      </c>
      <c r="AB274" s="280">
        <v>0.24577618984100005</v>
      </c>
      <c r="AC274" s="280">
        <v>0.24628163812000003</v>
      </c>
      <c r="AD274" s="280">
        <v>0.24691017484000005</v>
      </c>
      <c r="AE274" s="280">
        <v>0.24753871156000004</v>
      </c>
      <c r="AF274" s="280">
        <v>0.24816724828000006</v>
      </c>
      <c r="AG274" s="280">
        <v>0.24879578500000005</v>
      </c>
      <c r="AH274" s="280">
        <v>0.24942432172000006</v>
      </c>
      <c r="AI274" s="280">
        <v>0.24980982424160006</v>
      </c>
      <c r="AJ274" s="280">
        <v>0.25019532676320005</v>
      </c>
      <c r="AK274" s="280">
        <v>0.2505808292848</v>
      </c>
      <c r="AL274" s="280">
        <v>0.25096633180640004</v>
      </c>
      <c r="AM274" s="280">
        <v>0.251351834328</v>
      </c>
      <c r="AN274" s="280">
        <v>0.251869245755904</v>
      </c>
      <c r="AO274" s="280">
        <v>0.25238665718380804</v>
      </c>
      <c r="AP274" s="280">
        <v>0.252904068611712</v>
      </c>
      <c r="AQ274" s="280">
        <v>0.253421480039616</v>
      </c>
      <c r="AR274" s="280">
        <v>0.25393889146752</v>
      </c>
      <c r="AS274" s="280">
        <v>0.2539945043965056</v>
      </c>
      <c r="AT274" s="280">
        <v>0.25405011732549126</v>
      </c>
      <c r="AU274" s="280">
        <v>0.25410573025447686</v>
      </c>
    </row>
    <row r="275" spans="1:47" ht="12.75">
      <c r="A275" s="279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</row>
    <row r="276" spans="1:47" ht="12.75">
      <c r="A276" s="279" t="s">
        <v>774</v>
      </c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  <c r="AM276" s="124"/>
      <c r="AN276" s="124"/>
      <c r="AO276" s="124"/>
      <c r="AP276" s="124"/>
      <c r="AQ276" s="124"/>
      <c r="AR276" s="124"/>
      <c r="AS276" s="124"/>
      <c r="AT276" s="124"/>
      <c r="AU276" s="124"/>
    </row>
    <row r="277" spans="1:47" ht="12.75">
      <c r="A277" s="279" t="s">
        <v>775</v>
      </c>
      <c r="B277" s="124"/>
      <c r="C277" s="280">
        <v>0.55225</v>
      </c>
      <c r="D277" s="280">
        <v>0.5630000000000001</v>
      </c>
      <c r="E277" s="280">
        <v>0.56</v>
      </c>
      <c r="F277" s="280">
        <v>0.558</v>
      </c>
      <c r="G277" s="280">
        <v>0.556</v>
      </c>
      <c r="H277" s="280">
        <v>0.554</v>
      </c>
      <c r="I277" s="280">
        <v>0.553</v>
      </c>
      <c r="J277" s="280">
        <v>0.553</v>
      </c>
      <c r="K277" s="280">
        <v>0.553</v>
      </c>
      <c r="L277" s="280">
        <v>0.553</v>
      </c>
      <c r="M277" s="280">
        <v>0.553</v>
      </c>
      <c r="N277" s="280">
        <v>0.553</v>
      </c>
      <c r="O277" s="280">
        <v>0.553</v>
      </c>
      <c r="P277" s="280">
        <v>0.553</v>
      </c>
      <c r="Q277" s="280">
        <v>0.553</v>
      </c>
      <c r="R277" s="280">
        <v>0.553</v>
      </c>
      <c r="S277" s="280">
        <v>0.553</v>
      </c>
      <c r="T277" s="280">
        <v>0.553</v>
      </c>
      <c r="U277" s="280">
        <v>0.553</v>
      </c>
      <c r="V277" s="280">
        <v>0.553</v>
      </c>
      <c r="W277" s="280">
        <v>0.553</v>
      </c>
      <c r="X277" s="280">
        <v>0.553</v>
      </c>
      <c r="Y277" s="280">
        <v>0.553</v>
      </c>
      <c r="Z277" s="280">
        <v>0.553</v>
      </c>
      <c r="AA277" s="280">
        <v>0.553</v>
      </c>
      <c r="AB277" s="280">
        <v>0.553</v>
      </c>
      <c r="AC277" s="280">
        <v>0.553</v>
      </c>
      <c r="AD277" s="280">
        <v>0.553</v>
      </c>
      <c r="AE277" s="280">
        <v>0.553</v>
      </c>
      <c r="AF277" s="280">
        <v>0.553</v>
      </c>
      <c r="AG277" s="280">
        <v>0.553</v>
      </c>
      <c r="AH277" s="280">
        <v>0.553</v>
      </c>
      <c r="AI277" s="280">
        <v>0.553</v>
      </c>
      <c r="AJ277" s="280">
        <v>0.553</v>
      </c>
      <c r="AK277" s="280">
        <v>0.553</v>
      </c>
      <c r="AL277" s="280">
        <v>0.553</v>
      </c>
      <c r="AM277" s="280">
        <v>0.553</v>
      </c>
      <c r="AN277" s="280">
        <v>0.553</v>
      </c>
      <c r="AO277" s="280">
        <v>0.553</v>
      </c>
      <c r="AP277" s="280">
        <v>0.553</v>
      </c>
      <c r="AQ277" s="280">
        <v>0.553</v>
      </c>
      <c r="AR277" s="280">
        <v>0.553</v>
      </c>
      <c r="AS277" s="280">
        <v>0.553</v>
      </c>
      <c r="AT277" s="280">
        <v>0.553</v>
      </c>
      <c r="AU277" s="280">
        <v>0.553</v>
      </c>
    </row>
    <row r="278" spans="1:47" ht="12.75">
      <c r="A278" s="279" t="s">
        <v>776</v>
      </c>
      <c r="B278" s="124"/>
      <c r="C278" s="280">
        <v>0.6875</v>
      </c>
      <c r="D278" s="280">
        <v>0.69125</v>
      </c>
      <c r="E278" s="280">
        <v>0.69269</v>
      </c>
      <c r="F278" s="280">
        <v>0.69413</v>
      </c>
      <c r="G278" s="280">
        <v>0.69557</v>
      </c>
      <c r="H278" s="280">
        <v>0.69701</v>
      </c>
      <c r="I278" s="280">
        <v>0.69845</v>
      </c>
      <c r="J278" s="280">
        <v>0.6965</v>
      </c>
      <c r="K278" s="280">
        <v>0.69455</v>
      </c>
      <c r="L278" s="280">
        <v>0.6926</v>
      </c>
      <c r="M278" s="280">
        <v>0.69065</v>
      </c>
      <c r="N278" s="280">
        <v>0.6887</v>
      </c>
      <c r="O278" s="280">
        <v>0.68935</v>
      </c>
      <c r="P278" s="280">
        <v>0.69</v>
      </c>
      <c r="Q278" s="280">
        <v>0.69065</v>
      </c>
      <c r="R278" s="280">
        <v>0.6913</v>
      </c>
      <c r="S278" s="280">
        <v>0.6919500000000001</v>
      </c>
      <c r="T278" s="280">
        <v>0.6919500000000001</v>
      </c>
      <c r="U278" s="280">
        <v>0.6919500000000001</v>
      </c>
      <c r="V278" s="280">
        <v>0.6919500000000001</v>
      </c>
      <c r="W278" s="280">
        <v>0.6919500000000001</v>
      </c>
      <c r="X278" s="280">
        <v>0.6919500000000001</v>
      </c>
      <c r="Y278" s="280">
        <v>0.6919500000000001</v>
      </c>
      <c r="Z278" s="280">
        <v>0.6919500000000001</v>
      </c>
      <c r="AA278" s="280">
        <v>0.6919500000000001</v>
      </c>
      <c r="AB278" s="280">
        <v>0.6919500000000001</v>
      </c>
      <c r="AC278" s="280">
        <v>0.6919500000000001</v>
      </c>
      <c r="AD278" s="280">
        <v>0.6919500000000001</v>
      </c>
      <c r="AE278" s="280">
        <v>0.6919500000000001</v>
      </c>
      <c r="AF278" s="280">
        <v>0.6919500000000001</v>
      </c>
      <c r="AG278" s="280">
        <v>0.6919500000000001</v>
      </c>
      <c r="AH278" s="280">
        <v>0.6919500000000001</v>
      </c>
      <c r="AI278" s="280">
        <v>0.6919500000000001</v>
      </c>
      <c r="AJ278" s="280">
        <v>0.6919500000000001</v>
      </c>
      <c r="AK278" s="280">
        <v>0.6919500000000001</v>
      </c>
      <c r="AL278" s="280">
        <v>0.6919500000000001</v>
      </c>
      <c r="AM278" s="280">
        <v>0.6919500000000001</v>
      </c>
      <c r="AN278" s="280">
        <v>0.6919500000000001</v>
      </c>
      <c r="AO278" s="280">
        <v>0.6919500000000001</v>
      </c>
      <c r="AP278" s="280">
        <v>0.6919500000000001</v>
      </c>
      <c r="AQ278" s="280">
        <v>0.6919500000000001</v>
      </c>
      <c r="AR278" s="280">
        <v>0.6919500000000001</v>
      </c>
      <c r="AS278" s="280">
        <v>0.6919500000000001</v>
      </c>
      <c r="AT278" s="280">
        <v>0.6919500000000001</v>
      </c>
      <c r="AU278" s="280">
        <v>0.6919500000000001</v>
      </c>
    </row>
    <row r="279" spans="1:47" ht="12.75">
      <c r="A279" s="279" t="s">
        <v>777</v>
      </c>
      <c r="B279" s="124"/>
      <c r="C279" s="280">
        <v>0.71875</v>
      </c>
      <c r="D279" s="280">
        <v>0.7340000000000001</v>
      </c>
      <c r="E279" s="280">
        <v>0.7358000000000001</v>
      </c>
      <c r="F279" s="280">
        <v>0.7376</v>
      </c>
      <c r="G279" s="280">
        <v>0.7394000000000001</v>
      </c>
      <c r="H279" s="280">
        <v>0.7412</v>
      </c>
      <c r="I279" s="280">
        <v>0.743</v>
      </c>
      <c r="J279" s="280">
        <v>0.744152</v>
      </c>
      <c r="K279" s="280">
        <v>0.745304</v>
      </c>
      <c r="L279" s="280">
        <v>0.746456</v>
      </c>
      <c r="M279" s="280">
        <v>0.7476079999999999</v>
      </c>
      <c r="N279" s="280">
        <v>0.74876</v>
      </c>
      <c r="O279" s="280">
        <v>0.7472</v>
      </c>
      <c r="P279" s="280">
        <v>0.74564</v>
      </c>
      <c r="Q279" s="280">
        <v>0.74408</v>
      </c>
      <c r="R279" s="280">
        <v>0.74252</v>
      </c>
      <c r="S279" s="280">
        <v>0.74096</v>
      </c>
      <c r="T279" s="280">
        <v>0.7414799999999999</v>
      </c>
      <c r="U279" s="280">
        <v>0.742</v>
      </c>
      <c r="V279" s="280">
        <v>0.74252</v>
      </c>
      <c r="W279" s="280">
        <v>0.74304</v>
      </c>
      <c r="X279" s="280">
        <v>0.74356</v>
      </c>
      <c r="Y279" s="280">
        <v>0.74356</v>
      </c>
      <c r="Z279" s="280">
        <v>0.74356</v>
      </c>
      <c r="AA279" s="280">
        <v>0.74356</v>
      </c>
      <c r="AB279" s="280">
        <v>0.74356</v>
      </c>
      <c r="AC279" s="280">
        <v>0.74356</v>
      </c>
      <c r="AD279" s="280">
        <v>0.74356</v>
      </c>
      <c r="AE279" s="280">
        <v>0.74356</v>
      </c>
      <c r="AF279" s="280">
        <v>0.74356</v>
      </c>
      <c r="AG279" s="280">
        <v>0.74356</v>
      </c>
      <c r="AH279" s="280">
        <v>0.74356</v>
      </c>
      <c r="AI279" s="280">
        <v>0.74356</v>
      </c>
      <c r="AJ279" s="280">
        <v>0.74356</v>
      </c>
      <c r="AK279" s="280">
        <v>0.74356</v>
      </c>
      <c r="AL279" s="280">
        <v>0.74356</v>
      </c>
      <c r="AM279" s="280">
        <v>0.74356</v>
      </c>
      <c r="AN279" s="280">
        <v>0.74356</v>
      </c>
      <c r="AO279" s="280">
        <v>0.74356</v>
      </c>
      <c r="AP279" s="280">
        <v>0.74356</v>
      </c>
      <c r="AQ279" s="280">
        <v>0.74356</v>
      </c>
      <c r="AR279" s="280">
        <v>0.74356</v>
      </c>
      <c r="AS279" s="280">
        <v>0.74356</v>
      </c>
      <c r="AT279" s="280">
        <v>0.74356</v>
      </c>
      <c r="AU279" s="280">
        <v>0.74356</v>
      </c>
    </row>
    <row r="280" spans="1:47" ht="12.75">
      <c r="A280" s="279" t="s">
        <v>778</v>
      </c>
      <c r="B280" s="124"/>
      <c r="C280" s="280">
        <v>0.71475</v>
      </c>
      <c r="D280" s="280">
        <v>0.733</v>
      </c>
      <c r="E280" s="280">
        <v>0.74184</v>
      </c>
      <c r="F280" s="280">
        <v>0.75068</v>
      </c>
      <c r="G280" s="280">
        <v>0.7595200000000001</v>
      </c>
      <c r="H280" s="280">
        <v>0.76836</v>
      </c>
      <c r="I280" s="280">
        <v>0.7772000000000001</v>
      </c>
      <c r="J280" s="280">
        <v>0.7786400000000001</v>
      </c>
      <c r="K280" s="280">
        <v>0.7800800000000001</v>
      </c>
      <c r="L280" s="280">
        <v>0.78152</v>
      </c>
      <c r="M280" s="280">
        <v>0.78296</v>
      </c>
      <c r="N280" s="280">
        <v>0.7844</v>
      </c>
      <c r="O280" s="280">
        <v>0.7853216</v>
      </c>
      <c r="P280" s="280">
        <v>0.7862431999999999</v>
      </c>
      <c r="Q280" s="280">
        <v>0.7871648</v>
      </c>
      <c r="R280" s="280">
        <v>0.7880864</v>
      </c>
      <c r="S280" s="280">
        <v>0.7890079999999999</v>
      </c>
      <c r="T280" s="280">
        <v>0.7877599999999999</v>
      </c>
      <c r="U280" s="280">
        <v>0.7865119999999999</v>
      </c>
      <c r="V280" s="280">
        <v>0.785264</v>
      </c>
      <c r="W280" s="280">
        <v>0.7840159999999999</v>
      </c>
      <c r="X280" s="280">
        <v>0.7827679999999999</v>
      </c>
      <c r="Y280" s="280">
        <v>0.7831839999999999</v>
      </c>
      <c r="Z280" s="280">
        <v>0.7836</v>
      </c>
      <c r="AA280" s="280">
        <v>0.7840159999999999</v>
      </c>
      <c r="AB280" s="280">
        <v>0.784432</v>
      </c>
      <c r="AC280" s="280">
        <v>0.784848</v>
      </c>
      <c r="AD280" s="280">
        <v>0.784848</v>
      </c>
      <c r="AE280" s="280">
        <v>0.784848</v>
      </c>
      <c r="AF280" s="280">
        <v>0.784848</v>
      </c>
      <c r="AG280" s="280">
        <v>0.784848</v>
      </c>
      <c r="AH280" s="280">
        <v>0.784848</v>
      </c>
      <c r="AI280" s="280">
        <v>0.784848</v>
      </c>
      <c r="AJ280" s="280">
        <v>0.784848</v>
      </c>
      <c r="AK280" s="280">
        <v>0.784848</v>
      </c>
      <c r="AL280" s="280">
        <v>0.784848</v>
      </c>
      <c r="AM280" s="280">
        <v>0.784848</v>
      </c>
      <c r="AN280" s="280">
        <v>0.784848</v>
      </c>
      <c r="AO280" s="280">
        <v>0.784848</v>
      </c>
      <c r="AP280" s="280">
        <v>0.784848</v>
      </c>
      <c r="AQ280" s="280">
        <v>0.784848</v>
      </c>
      <c r="AR280" s="280">
        <v>0.784848</v>
      </c>
      <c r="AS280" s="280">
        <v>0.784848</v>
      </c>
      <c r="AT280" s="280">
        <v>0.784848</v>
      </c>
      <c r="AU280" s="280">
        <v>0.784848</v>
      </c>
    </row>
    <row r="281" spans="1:47" ht="12.75">
      <c r="A281" s="279" t="s">
        <v>779</v>
      </c>
      <c r="B281" s="124"/>
      <c r="C281" s="280">
        <v>0.7284999999999999</v>
      </c>
      <c r="D281" s="280">
        <v>0.7275</v>
      </c>
      <c r="E281" s="280">
        <v>0.73728</v>
      </c>
      <c r="F281" s="280">
        <v>0.7470600000000001</v>
      </c>
      <c r="G281" s="280">
        <v>0.75684</v>
      </c>
      <c r="H281" s="280">
        <v>0.76662</v>
      </c>
      <c r="I281" s="280">
        <v>0.7764</v>
      </c>
      <c r="J281" s="280">
        <v>0.783472</v>
      </c>
      <c r="K281" s="280">
        <v>0.790544</v>
      </c>
      <c r="L281" s="280">
        <v>0.797616</v>
      </c>
      <c r="M281" s="280">
        <v>0.8046880000000001</v>
      </c>
      <c r="N281" s="280">
        <v>0.81176</v>
      </c>
      <c r="O281" s="280">
        <v>0.8129120000000001</v>
      </c>
      <c r="P281" s="280">
        <v>0.814064</v>
      </c>
      <c r="Q281" s="280">
        <v>0.815216</v>
      </c>
      <c r="R281" s="280">
        <v>0.816368</v>
      </c>
      <c r="S281" s="280">
        <v>0.81752</v>
      </c>
      <c r="T281" s="280">
        <v>0.81825728</v>
      </c>
      <c r="U281" s="280">
        <v>0.8189945599999999</v>
      </c>
      <c r="V281" s="280">
        <v>0.81973184</v>
      </c>
      <c r="W281" s="280">
        <v>0.8204691199999999</v>
      </c>
      <c r="X281" s="280">
        <v>0.8212063999999999</v>
      </c>
      <c r="Y281" s="280">
        <v>0.8202079999999999</v>
      </c>
      <c r="Z281" s="280">
        <v>0.8192095999999999</v>
      </c>
      <c r="AA281" s="280">
        <v>0.8182111999999999</v>
      </c>
      <c r="AB281" s="280">
        <v>0.8172127999999999</v>
      </c>
      <c r="AC281" s="280">
        <v>0.8162143999999999</v>
      </c>
      <c r="AD281" s="280">
        <v>0.8165471999999999</v>
      </c>
      <c r="AE281" s="280">
        <v>0.8168799999999999</v>
      </c>
      <c r="AF281" s="280">
        <v>0.8172128</v>
      </c>
      <c r="AG281" s="280">
        <v>0.8175456</v>
      </c>
      <c r="AH281" s="280">
        <v>0.8178784</v>
      </c>
      <c r="AI281" s="280">
        <v>0.8178784</v>
      </c>
      <c r="AJ281" s="280">
        <v>0.8178784</v>
      </c>
      <c r="AK281" s="280">
        <v>0.8178784</v>
      </c>
      <c r="AL281" s="280">
        <v>0.8178784</v>
      </c>
      <c r="AM281" s="280">
        <v>0.8178784</v>
      </c>
      <c r="AN281" s="280">
        <v>0.8178784</v>
      </c>
      <c r="AO281" s="280">
        <v>0.8178784</v>
      </c>
      <c r="AP281" s="280">
        <v>0.8178784</v>
      </c>
      <c r="AQ281" s="280">
        <v>0.8178784</v>
      </c>
      <c r="AR281" s="280">
        <v>0.8178784</v>
      </c>
      <c r="AS281" s="280">
        <v>0.8178784</v>
      </c>
      <c r="AT281" s="280">
        <v>0.8178784</v>
      </c>
      <c r="AU281" s="280">
        <v>0.8178784</v>
      </c>
    </row>
    <row r="282" spans="1:47" ht="12.75">
      <c r="A282" s="279" t="s">
        <v>780</v>
      </c>
      <c r="B282" s="124"/>
      <c r="C282" s="280">
        <v>0.8127500000000001</v>
      </c>
      <c r="D282" s="280">
        <v>0.7889999999999999</v>
      </c>
      <c r="E282" s="280">
        <v>0.7900499999999999</v>
      </c>
      <c r="F282" s="280">
        <v>0.7910999999999999</v>
      </c>
      <c r="G282" s="280">
        <v>0.79215</v>
      </c>
      <c r="H282" s="280">
        <v>0.7932</v>
      </c>
      <c r="I282" s="280">
        <v>0.79425</v>
      </c>
      <c r="J282" s="280">
        <v>0.801096</v>
      </c>
      <c r="K282" s="280">
        <v>0.807942</v>
      </c>
      <c r="L282" s="280">
        <v>0.814788</v>
      </c>
      <c r="M282" s="280">
        <v>0.821634</v>
      </c>
      <c r="N282" s="280">
        <v>0.82848</v>
      </c>
      <c r="O282" s="280">
        <v>0.8334304</v>
      </c>
      <c r="P282" s="280">
        <v>0.8383808</v>
      </c>
      <c r="Q282" s="280">
        <v>0.8433312</v>
      </c>
      <c r="R282" s="280">
        <v>0.8482816</v>
      </c>
      <c r="S282" s="280">
        <v>0.853232</v>
      </c>
      <c r="T282" s="280">
        <v>0.8540384</v>
      </c>
      <c r="U282" s="280">
        <v>0.8548448</v>
      </c>
      <c r="V282" s="280">
        <v>0.8556512000000001</v>
      </c>
      <c r="W282" s="280">
        <v>0.8564576</v>
      </c>
      <c r="X282" s="280">
        <v>0.857264</v>
      </c>
      <c r="Y282" s="280">
        <v>0.857780096</v>
      </c>
      <c r="Z282" s="280">
        <v>0.858296192</v>
      </c>
      <c r="AA282" s="280">
        <v>0.858812288</v>
      </c>
      <c r="AB282" s="280">
        <v>0.8593283839999999</v>
      </c>
      <c r="AC282" s="280">
        <v>0.8598444799999999</v>
      </c>
      <c r="AD282" s="280">
        <v>0.8591456</v>
      </c>
      <c r="AE282" s="280">
        <v>0.8584467199999999</v>
      </c>
      <c r="AF282" s="280">
        <v>0.8577478399999999</v>
      </c>
      <c r="AG282" s="280">
        <v>0.8570489599999999</v>
      </c>
      <c r="AH282" s="280">
        <v>0.8563500799999999</v>
      </c>
      <c r="AI282" s="280">
        <v>0.85658304</v>
      </c>
      <c r="AJ282" s="280">
        <v>0.8568159999999999</v>
      </c>
      <c r="AK282" s="280">
        <v>0.85704896</v>
      </c>
      <c r="AL282" s="280">
        <v>0.8572819199999999</v>
      </c>
      <c r="AM282" s="280">
        <v>0.85751488</v>
      </c>
      <c r="AN282" s="280">
        <v>0.85751488</v>
      </c>
      <c r="AO282" s="280">
        <v>0.85751488</v>
      </c>
      <c r="AP282" s="280">
        <v>0.85751488</v>
      </c>
      <c r="AQ282" s="280">
        <v>0.85751488</v>
      </c>
      <c r="AR282" s="280">
        <v>0.85751488</v>
      </c>
      <c r="AS282" s="280">
        <v>0.85751488</v>
      </c>
      <c r="AT282" s="280">
        <v>0.85751488</v>
      </c>
      <c r="AU282" s="280">
        <v>0.85751488</v>
      </c>
    </row>
    <row r="283" spans="1:47" ht="12.75">
      <c r="A283" s="279" t="s">
        <v>781</v>
      </c>
      <c r="B283" s="124"/>
      <c r="C283" s="280">
        <v>0.8192499999999999</v>
      </c>
      <c r="D283" s="280">
        <v>0.81575</v>
      </c>
      <c r="E283" s="280">
        <v>0.81362</v>
      </c>
      <c r="F283" s="280">
        <v>0.8114899999999999</v>
      </c>
      <c r="G283" s="280">
        <v>0.80936</v>
      </c>
      <c r="H283" s="280">
        <v>0.8072299999999999</v>
      </c>
      <c r="I283" s="280">
        <v>0.8050999999999999</v>
      </c>
      <c r="J283" s="280">
        <v>0.8060449999999999</v>
      </c>
      <c r="K283" s="280">
        <v>0.80699</v>
      </c>
      <c r="L283" s="280">
        <v>0.807935</v>
      </c>
      <c r="M283" s="280">
        <v>0.80888</v>
      </c>
      <c r="N283" s="280">
        <v>0.809825</v>
      </c>
      <c r="O283" s="280">
        <v>0.8159864</v>
      </c>
      <c r="P283" s="280">
        <v>0.8221478</v>
      </c>
      <c r="Q283" s="280">
        <v>0.8283092000000001</v>
      </c>
      <c r="R283" s="280">
        <v>0.8344706000000001</v>
      </c>
      <c r="S283" s="280">
        <v>0.840632</v>
      </c>
      <c r="T283" s="280">
        <v>0.8450873600000001</v>
      </c>
      <c r="U283" s="280">
        <v>0.8495427200000001</v>
      </c>
      <c r="V283" s="280">
        <v>0.85399808</v>
      </c>
      <c r="W283" s="280">
        <v>0.85845344</v>
      </c>
      <c r="X283" s="280">
        <v>0.8629088</v>
      </c>
      <c r="Y283" s="280">
        <v>0.86363456</v>
      </c>
      <c r="Z283" s="280">
        <v>0.8643603200000001</v>
      </c>
      <c r="AA283" s="280">
        <v>0.86508608</v>
      </c>
      <c r="AB283" s="280">
        <v>0.86581184</v>
      </c>
      <c r="AC283" s="280">
        <v>0.8665376</v>
      </c>
      <c r="AD283" s="280">
        <v>0.8670020864</v>
      </c>
      <c r="AE283" s="280">
        <v>0.8674665728</v>
      </c>
      <c r="AF283" s="280">
        <v>0.8679310592</v>
      </c>
      <c r="AG283" s="280">
        <v>0.8683955456</v>
      </c>
      <c r="AH283" s="280">
        <v>0.868860032</v>
      </c>
      <c r="AI283" s="280">
        <v>0.86823104</v>
      </c>
      <c r="AJ283" s="280">
        <v>0.867602048</v>
      </c>
      <c r="AK283" s="280">
        <v>0.8669730559999999</v>
      </c>
      <c r="AL283" s="280">
        <v>0.8663440639999999</v>
      </c>
      <c r="AM283" s="280">
        <v>0.8657150719999999</v>
      </c>
      <c r="AN283" s="280">
        <v>0.8659247359999999</v>
      </c>
      <c r="AO283" s="280">
        <v>0.8661343999999999</v>
      </c>
      <c r="AP283" s="280">
        <v>0.866344064</v>
      </c>
      <c r="AQ283" s="280">
        <v>0.866553728</v>
      </c>
      <c r="AR283" s="280">
        <v>0.866763392</v>
      </c>
      <c r="AS283" s="280">
        <v>0.866763392</v>
      </c>
      <c r="AT283" s="280">
        <v>0.866763392</v>
      </c>
      <c r="AU283" s="280">
        <v>0.866763392</v>
      </c>
    </row>
    <row r="284" spans="1:47" ht="12.75">
      <c r="A284" s="279" t="s">
        <v>782</v>
      </c>
      <c r="B284" s="124"/>
      <c r="C284" s="280">
        <v>0.81</v>
      </c>
      <c r="D284" s="280">
        <v>0.79475</v>
      </c>
      <c r="E284" s="280">
        <v>0.7973184999999999</v>
      </c>
      <c r="F284" s="280">
        <v>0.7998869999999999</v>
      </c>
      <c r="G284" s="280">
        <v>0.8024555</v>
      </c>
      <c r="H284" s="280">
        <v>0.805024</v>
      </c>
      <c r="I284" s="280">
        <v>0.8075924999999999</v>
      </c>
      <c r="J284" s="280">
        <v>0.8054838</v>
      </c>
      <c r="K284" s="280">
        <v>0.8033750999999999</v>
      </c>
      <c r="L284" s="280">
        <v>0.8012663999999999</v>
      </c>
      <c r="M284" s="280">
        <v>0.7991576999999999</v>
      </c>
      <c r="N284" s="280">
        <v>0.7970489999999999</v>
      </c>
      <c r="O284" s="280">
        <v>0.7979845499999999</v>
      </c>
      <c r="P284" s="280">
        <v>0.7989200999999999</v>
      </c>
      <c r="Q284" s="280">
        <v>0.79985565</v>
      </c>
      <c r="R284" s="280">
        <v>0.8007912</v>
      </c>
      <c r="S284" s="280">
        <v>0.80172675</v>
      </c>
      <c r="T284" s="280">
        <v>0.8078265360000001</v>
      </c>
      <c r="U284" s="280">
        <v>0.813926322</v>
      </c>
      <c r="V284" s="280">
        <v>0.8200261080000001</v>
      </c>
      <c r="W284" s="280">
        <v>0.826125894</v>
      </c>
      <c r="X284" s="280">
        <v>0.8322256800000001</v>
      </c>
      <c r="Y284" s="280">
        <v>0.8366364864000001</v>
      </c>
      <c r="Z284" s="280">
        <v>0.8410472928000001</v>
      </c>
      <c r="AA284" s="280">
        <v>0.8454580992</v>
      </c>
      <c r="AB284" s="280">
        <v>0.8498689056000001</v>
      </c>
      <c r="AC284" s="280">
        <v>0.8542797120000001</v>
      </c>
      <c r="AD284" s="280">
        <v>0.8549982144000001</v>
      </c>
      <c r="AE284" s="280">
        <v>0.8557167168</v>
      </c>
      <c r="AF284" s="280">
        <v>0.8564352192000001</v>
      </c>
      <c r="AG284" s="280">
        <v>0.8571537216</v>
      </c>
      <c r="AH284" s="280">
        <v>0.8578722240000001</v>
      </c>
      <c r="AI284" s="280">
        <v>0.858332065536</v>
      </c>
      <c r="AJ284" s="280">
        <v>0.858791907072</v>
      </c>
      <c r="AK284" s="280">
        <v>0.859251748608</v>
      </c>
      <c r="AL284" s="280">
        <v>0.859711590144</v>
      </c>
      <c r="AM284" s="280">
        <v>0.86017143168</v>
      </c>
      <c r="AN284" s="280">
        <v>0.8595487296</v>
      </c>
      <c r="AO284" s="280">
        <v>0.8589260275199999</v>
      </c>
      <c r="AP284" s="280">
        <v>0.85830332544</v>
      </c>
      <c r="AQ284" s="280">
        <v>0.85768062336</v>
      </c>
      <c r="AR284" s="280">
        <v>0.8570579212799999</v>
      </c>
      <c r="AS284" s="280">
        <v>0.85726548864</v>
      </c>
      <c r="AT284" s="280">
        <v>0.8574730559999999</v>
      </c>
      <c r="AU284" s="280">
        <v>0.85768062336</v>
      </c>
    </row>
    <row r="285" spans="1:47" ht="12.75">
      <c r="A285" s="279" t="s">
        <v>783</v>
      </c>
      <c r="B285" s="124"/>
      <c r="C285" s="280">
        <v>0.72575</v>
      </c>
      <c r="D285" s="280">
        <v>0.7164999999999999</v>
      </c>
      <c r="E285" s="280">
        <v>0.7257919999999999</v>
      </c>
      <c r="F285" s="280">
        <v>0.735084</v>
      </c>
      <c r="G285" s="280">
        <v>0.7443759999999999</v>
      </c>
      <c r="H285" s="280">
        <v>0.753668</v>
      </c>
      <c r="I285" s="280">
        <v>0.76296</v>
      </c>
      <c r="J285" s="280">
        <v>0.76542576</v>
      </c>
      <c r="K285" s="280">
        <v>0.7678915199999999</v>
      </c>
      <c r="L285" s="280">
        <v>0.7703572799999999</v>
      </c>
      <c r="M285" s="280">
        <v>0.7728230399999999</v>
      </c>
      <c r="N285" s="280">
        <v>0.7752887999999999</v>
      </c>
      <c r="O285" s="280">
        <v>0.7732644479999999</v>
      </c>
      <c r="P285" s="280">
        <v>0.7712400959999999</v>
      </c>
      <c r="Q285" s="280">
        <v>0.7692157439999999</v>
      </c>
      <c r="R285" s="280">
        <v>0.7671913919999999</v>
      </c>
      <c r="S285" s="280">
        <v>0.7651670399999999</v>
      </c>
      <c r="T285" s="280">
        <v>0.7660651679999999</v>
      </c>
      <c r="U285" s="280">
        <v>0.7669632959999999</v>
      </c>
      <c r="V285" s="280">
        <v>0.767861424</v>
      </c>
      <c r="W285" s="280">
        <v>0.768759552</v>
      </c>
      <c r="X285" s="280">
        <v>0.76965768</v>
      </c>
      <c r="Y285" s="280">
        <v>0.77551347456</v>
      </c>
      <c r="Z285" s="280">
        <v>0.78136926912</v>
      </c>
      <c r="AA285" s="280">
        <v>0.78722506368</v>
      </c>
      <c r="AB285" s="280">
        <v>0.7930808582400001</v>
      </c>
      <c r="AC285" s="280">
        <v>0.7989366528</v>
      </c>
      <c r="AD285" s="280">
        <v>0.803171026944</v>
      </c>
      <c r="AE285" s="280">
        <v>0.8074054010880001</v>
      </c>
      <c r="AF285" s="280">
        <v>0.811639775232</v>
      </c>
      <c r="AG285" s="280">
        <v>0.8158741493760001</v>
      </c>
      <c r="AH285" s="280">
        <v>0.8201085235200001</v>
      </c>
      <c r="AI285" s="280">
        <v>0.820798285824</v>
      </c>
      <c r="AJ285" s="280">
        <v>0.821488048128</v>
      </c>
      <c r="AK285" s="280">
        <v>0.8221778104320001</v>
      </c>
      <c r="AL285" s="280">
        <v>0.8228675727360001</v>
      </c>
      <c r="AM285" s="280">
        <v>0.8235573350400001</v>
      </c>
      <c r="AN285" s="280">
        <v>0.8239987829145601</v>
      </c>
      <c r="AO285" s="280">
        <v>0.82444023078912</v>
      </c>
      <c r="AP285" s="280">
        <v>0.82488167866368</v>
      </c>
      <c r="AQ285" s="280">
        <v>0.8253231265382399</v>
      </c>
      <c r="AR285" s="280">
        <v>0.8257645744127999</v>
      </c>
      <c r="AS285" s="280">
        <v>0.8251667804159999</v>
      </c>
      <c r="AT285" s="280">
        <v>0.8245689864192</v>
      </c>
      <c r="AU285" s="280">
        <v>0.8239711924223999</v>
      </c>
    </row>
    <row r="286" spans="1:47" ht="12.75">
      <c r="A286" s="279" t="s">
        <v>784</v>
      </c>
      <c r="B286" s="124"/>
      <c r="C286" s="280">
        <v>0.515</v>
      </c>
      <c r="D286" s="280">
        <v>0.5167499999999999</v>
      </c>
      <c r="E286" s="280">
        <v>0.5352049999999999</v>
      </c>
      <c r="F286" s="280">
        <v>0.5536599999999999</v>
      </c>
      <c r="G286" s="280">
        <v>0.5721149999999999</v>
      </c>
      <c r="H286" s="280">
        <v>0.5905699999999999</v>
      </c>
      <c r="I286" s="280">
        <v>0.6090249999999999</v>
      </c>
      <c r="J286" s="280">
        <v>0.6169231999999999</v>
      </c>
      <c r="K286" s="280">
        <v>0.6248214</v>
      </c>
      <c r="L286" s="280">
        <v>0.6327195999999999</v>
      </c>
      <c r="M286" s="280">
        <v>0.6406178</v>
      </c>
      <c r="N286" s="280">
        <v>0.648516</v>
      </c>
      <c r="O286" s="280">
        <v>0.650611896</v>
      </c>
      <c r="P286" s="280">
        <v>0.652707792</v>
      </c>
      <c r="Q286" s="280">
        <v>0.654803688</v>
      </c>
      <c r="R286" s="280">
        <v>0.6568995839999999</v>
      </c>
      <c r="S286" s="280">
        <v>0.65899548</v>
      </c>
      <c r="T286" s="280">
        <v>0.6572747807999999</v>
      </c>
      <c r="U286" s="280">
        <v>0.6555540816</v>
      </c>
      <c r="V286" s="280">
        <v>0.6538333823999999</v>
      </c>
      <c r="W286" s="280">
        <v>0.6521126831999999</v>
      </c>
      <c r="X286" s="280">
        <v>0.6503919839999999</v>
      </c>
      <c r="Y286" s="280">
        <v>0.6511553927999999</v>
      </c>
      <c r="Z286" s="280">
        <v>0.6519188015999999</v>
      </c>
      <c r="AA286" s="280">
        <v>0.6526822104</v>
      </c>
      <c r="AB286" s="280">
        <v>0.6534456192</v>
      </c>
      <c r="AC286" s="280">
        <v>0.654209028</v>
      </c>
      <c r="AD286" s="280">
        <v>0.659186453376</v>
      </c>
      <c r="AE286" s="280">
        <v>0.664163878752</v>
      </c>
      <c r="AF286" s="280">
        <v>0.6691413041280001</v>
      </c>
      <c r="AG286" s="280">
        <v>0.6741187295040001</v>
      </c>
      <c r="AH286" s="280">
        <v>0.6790961548800001</v>
      </c>
      <c r="AI286" s="280">
        <v>0.6826953729024001</v>
      </c>
      <c r="AJ286" s="280">
        <v>0.6862945909248</v>
      </c>
      <c r="AK286" s="280">
        <v>0.6898938089472001</v>
      </c>
      <c r="AL286" s="280">
        <v>0.6934930269696</v>
      </c>
      <c r="AM286" s="280">
        <v>0.6970922449920001</v>
      </c>
      <c r="AN286" s="280">
        <v>0.6976785429504001</v>
      </c>
      <c r="AO286" s="280">
        <v>0.6982648409088</v>
      </c>
      <c r="AP286" s="280">
        <v>0.6988511388672001</v>
      </c>
      <c r="AQ286" s="280">
        <v>0.6994374368256</v>
      </c>
      <c r="AR286" s="280">
        <v>0.700023734784</v>
      </c>
      <c r="AS286" s="280">
        <v>0.700398965477376</v>
      </c>
      <c r="AT286" s="280">
        <v>0.700774196170752</v>
      </c>
      <c r="AU286" s="280">
        <v>0.7011494268641281</v>
      </c>
    </row>
    <row r="287" spans="1:47" ht="12.75">
      <c r="A287" s="279" t="s">
        <v>627</v>
      </c>
      <c r="B287" s="124"/>
      <c r="C287" s="280">
        <v>0.0805</v>
      </c>
      <c r="D287" s="280">
        <v>0.08925000000000001</v>
      </c>
      <c r="E287" s="280">
        <v>0.094137</v>
      </c>
      <c r="F287" s="280">
        <v>0.099024</v>
      </c>
      <c r="G287" s="280">
        <v>0.10391099999999999</v>
      </c>
      <c r="H287" s="280">
        <v>0.10879799999999998</v>
      </c>
      <c r="I287" s="280">
        <v>0.11368499999999998</v>
      </c>
      <c r="J287" s="280">
        <v>0.11774509999999998</v>
      </c>
      <c r="K287" s="280">
        <v>0.12180519999999997</v>
      </c>
      <c r="L287" s="280">
        <v>0.12586529999999999</v>
      </c>
      <c r="M287" s="280">
        <v>0.12992539999999997</v>
      </c>
      <c r="N287" s="280">
        <v>0.13398549999999998</v>
      </c>
      <c r="O287" s="280">
        <v>0.13572310399999998</v>
      </c>
      <c r="P287" s="280">
        <v>0.137460708</v>
      </c>
      <c r="Q287" s="280">
        <v>0.139198312</v>
      </c>
      <c r="R287" s="280">
        <v>0.140935916</v>
      </c>
      <c r="S287" s="280">
        <v>0.14267352</v>
      </c>
      <c r="T287" s="280">
        <v>0.14313461712</v>
      </c>
      <c r="U287" s="280">
        <v>0.14359571424</v>
      </c>
      <c r="V287" s="280">
        <v>0.14405681135999998</v>
      </c>
      <c r="W287" s="280">
        <v>0.14451790847999998</v>
      </c>
      <c r="X287" s="280">
        <v>0.1449790056</v>
      </c>
      <c r="Y287" s="280">
        <v>0.14460045177599998</v>
      </c>
      <c r="Z287" s="280">
        <v>0.14422189795199997</v>
      </c>
      <c r="AA287" s="280">
        <v>0.14384334412799998</v>
      </c>
      <c r="AB287" s="280">
        <v>0.14346479030399997</v>
      </c>
      <c r="AC287" s="280">
        <v>0.14308623647999996</v>
      </c>
      <c r="AD287" s="280">
        <v>0.14325418641599996</v>
      </c>
      <c r="AE287" s="280">
        <v>0.14342213635199996</v>
      </c>
      <c r="AF287" s="280">
        <v>0.14359008628799996</v>
      </c>
      <c r="AG287" s="280">
        <v>0.14375803622399996</v>
      </c>
      <c r="AH287" s="280">
        <v>0.14392598615999996</v>
      </c>
      <c r="AI287" s="280">
        <v>0.14502101974271997</v>
      </c>
      <c r="AJ287" s="280">
        <v>0.14611605332543998</v>
      </c>
      <c r="AK287" s="280">
        <v>0.14721108690815998</v>
      </c>
      <c r="AL287" s="280">
        <v>0.14830612049088</v>
      </c>
      <c r="AM287" s="280">
        <v>0.1494011540736</v>
      </c>
      <c r="AN287" s="280">
        <v>0.150192982038528</v>
      </c>
      <c r="AO287" s="280">
        <v>0.150984810003456</v>
      </c>
      <c r="AP287" s="280">
        <v>0.151776637968384</v>
      </c>
      <c r="AQ287" s="280">
        <v>0.15256846593331203</v>
      </c>
      <c r="AR287" s="280">
        <v>0.15336029389824002</v>
      </c>
      <c r="AS287" s="280">
        <v>0.15348927944908802</v>
      </c>
      <c r="AT287" s="280">
        <v>0.153618264999936</v>
      </c>
      <c r="AU287" s="280">
        <v>0.153747250550784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ignoredErrors>
    <ignoredError sqref="J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Y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5" max="5" width="10.00390625" style="0" bestFit="1" customWidth="1"/>
    <col min="6" max="7" width="9.57421875" style="0" bestFit="1" customWidth="1"/>
    <col min="13" max="13" width="10.00390625" style="0" bestFit="1" customWidth="1"/>
  </cols>
  <sheetData>
    <row r="1" ht="15.75">
      <c r="A1" s="16" t="s">
        <v>749</v>
      </c>
    </row>
    <row r="3" spans="1:102" ht="18.75">
      <c r="A3" s="17" t="s">
        <v>163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</row>
    <row r="4" spans="1:102" ht="12.75">
      <c r="A4" s="27" t="s">
        <v>497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</row>
    <row r="5" spans="1:102" ht="12.75">
      <c r="A5" s="18"/>
      <c r="B5" s="18"/>
      <c r="C5" s="92" t="s">
        <v>252</v>
      </c>
      <c r="D5" s="92" t="s">
        <v>253</v>
      </c>
      <c r="E5" s="92" t="s">
        <v>254</v>
      </c>
      <c r="F5" s="92" t="s">
        <v>255</v>
      </c>
      <c r="G5" s="92" t="s">
        <v>256</v>
      </c>
      <c r="H5" s="92" t="s">
        <v>257</v>
      </c>
      <c r="I5" s="90" t="s">
        <v>258</v>
      </c>
      <c r="J5" s="90" t="s">
        <v>259</v>
      </c>
      <c r="K5" s="90" t="s">
        <v>260</v>
      </c>
      <c r="L5" s="90" t="s">
        <v>261</v>
      </c>
      <c r="M5" s="90" t="s">
        <v>262</v>
      </c>
      <c r="N5" s="19" t="s">
        <v>263</v>
      </c>
      <c r="O5" s="19" t="s">
        <v>264</v>
      </c>
      <c r="P5" s="19" t="s">
        <v>265</v>
      </c>
      <c r="Q5" s="19" t="s">
        <v>266</v>
      </c>
      <c r="R5" s="19" t="s">
        <v>267</v>
      </c>
      <c r="S5" s="19" t="s">
        <v>268</v>
      </c>
      <c r="T5" s="19" t="s">
        <v>269</v>
      </c>
      <c r="U5" s="19" t="s">
        <v>270</v>
      </c>
      <c r="V5" s="19" t="s">
        <v>271</v>
      </c>
      <c r="W5" s="19" t="s">
        <v>272</v>
      </c>
      <c r="X5" s="19" t="s">
        <v>273</v>
      </c>
      <c r="Y5" s="19" t="s">
        <v>277</v>
      </c>
      <c r="Z5" s="19" t="s">
        <v>278</v>
      </c>
      <c r="AA5" s="19" t="s">
        <v>279</v>
      </c>
      <c r="AB5" s="19" t="s">
        <v>280</v>
      </c>
      <c r="AC5" s="19" t="s">
        <v>281</v>
      </c>
      <c r="AD5" s="19" t="s">
        <v>282</v>
      </c>
      <c r="AE5" s="19" t="s">
        <v>283</v>
      </c>
      <c r="AF5" s="19" t="s">
        <v>284</v>
      </c>
      <c r="AG5" s="19" t="s">
        <v>285</v>
      </c>
      <c r="AH5" s="19" t="s">
        <v>286</v>
      </c>
      <c r="AI5" s="19" t="s">
        <v>287</v>
      </c>
      <c r="AJ5" s="19" t="s">
        <v>288</v>
      </c>
      <c r="AK5" s="19" t="s">
        <v>289</v>
      </c>
      <c r="AL5" s="19" t="s">
        <v>290</v>
      </c>
      <c r="AM5" s="19" t="s">
        <v>291</v>
      </c>
      <c r="AN5" s="19" t="s">
        <v>292</v>
      </c>
      <c r="AO5" s="19" t="s">
        <v>293</v>
      </c>
      <c r="AP5" s="19" t="s">
        <v>294</v>
      </c>
      <c r="AQ5" s="19" t="s">
        <v>295</v>
      </c>
      <c r="AR5" s="19" t="s">
        <v>296</v>
      </c>
      <c r="AS5" s="19" t="s">
        <v>297</v>
      </c>
      <c r="AT5" s="19" t="s">
        <v>298</v>
      </c>
      <c r="AU5" s="19" t="s">
        <v>299</v>
      </c>
      <c r="AV5" s="19" t="s">
        <v>300</v>
      </c>
      <c r="AW5" s="19" t="s">
        <v>301</v>
      </c>
      <c r="AX5" s="19" t="s">
        <v>302</v>
      </c>
      <c r="AY5" s="19" t="s">
        <v>303</v>
      </c>
      <c r="AZ5" s="19" t="s">
        <v>405</v>
      </c>
      <c r="BA5" s="19" t="s">
        <v>406</v>
      </c>
      <c r="BB5" s="19" t="s">
        <v>407</v>
      </c>
      <c r="BC5" s="19" t="s">
        <v>408</v>
      </c>
      <c r="BD5" s="19" t="s">
        <v>410</v>
      </c>
      <c r="BE5" s="19" t="s">
        <v>411</v>
      </c>
      <c r="BF5" s="19" t="s">
        <v>412</v>
      </c>
      <c r="BG5" s="19" t="s">
        <v>413</v>
      </c>
      <c r="BH5" s="19" t="s">
        <v>414</v>
      </c>
      <c r="BI5" s="19" t="s">
        <v>415</v>
      </c>
      <c r="BJ5" s="19" t="s">
        <v>416</v>
      </c>
      <c r="BK5" s="19" t="s">
        <v>417</v>
      </c>
      <c r="BL5" s="19" t="s">
        <v>418</v>
      </c>
      <c r="BM5" s="19" t="s">
        <v>419</v>
      </c>
      <c r="BN5" s="19" t="s">
        <v>420</v>
      </c>
      <c r="BO5" s="19" t="s">
        <v>421</v>
      </c>
      <c r="BP5" s="19" t="s">
        <v>422</v>
      </c>
      <c r="BQ5" s="19" t="s">
        <v>423</v>
      </c>
      <c r="BR5" s="19" t="s">
        <v>424</v>
      </c>
      <c r="BS5" s="19" t="s">
        <v>425</v>
      </c>
      <c r="BT5" s="19" t="s">
        <v>426</v>
      </c>
      <c r="BU5" s="19" t="s">
        <v>427</v>
      </c>
      <c r="BV5" s="19" t="s">
        <v>428</v>
      </c>
      <c r="BW5" s="19" t="s">
        <v>429</v>
      </c>
      <c r="BX5" s="19" t="s">
        <v>430</v>
      </c>
      <c r="BY5" s="19" t="s">
        <v>431</v>
      </c>
      <c r="BZ5" s="19" t="s">
        <v>432</v>
      </c>
      <c r="CA5" s="19" t="s">
        <v>433</v>
      </c>
      <c r="CB5" s="19" t="s">
        <v>434</v>
      </c>
      <c r="CC5" s="19" t="s">
        <v>435</v>
      </c>
      <c r="CD5" s="19" t="s">
        <v>436</v>
      </c>
      <c r="CE5" s="19" t="s">
        <v>437</v>
      </c>
      <c r="CF5" s="19" t="s">
        <v>438</v>
      </c>
      <c r="CG5" s="19" t="s">
        <v>439</v>
      </c>
      <c r="CH5" s="19" t="s">
        <v>440</v>
      </c>
      <c r="CI5" s="19" t="s">
        <v>441</v>
      </c>
      <c r="CJ5" s="19" t="s">
        <v>442</v>
      </c>
      <c r="CK5" s="19" t="s">
        <v>443</v>
      </c>
      <c r="CL5" s="19" t="s">
        <v>444</v>
      </c>
      <c r="CM5" s="19" t="s">
        <v>445</v>
      </c>
      <c r="CN5" s="19" t="s">
        <v>446</v>
      </c>
      <c r="CO5" s="19" t="s">
        <v>447</v>
      </c>
      <c r="CP5" s="19" t="s">
        <v>448</v>
      </c>
      <c r="CQ5" s="19" t="s">
        <v>449</v>
      </c>
      <c r="CR5" s="19" t="s">
        <v>450</v>
      </c>
      <c r="CS5" s="19" t="s">
        <v>246</v>
      </c>
      <c r="CT5" s="19" t="s">
        <v>247</v>
      </c>
      <c r="CU5" s="19" t="s">
        <v>248</v>
      </c>
      <c r="CV5" s="19" t="s">
        <v>249</v>
      </c>
      <c r="CW5" s="19" t="s">
        <v>451</v>
      </c>
      <c r="CX5" s="19" t="s">
        <v>251</v>
      </c>
    </row>
    <row r="6" spans="1:102" ht="12.75">
      <c r="A6" s="20" t="s">
        <v>476</v>
      </c>
      <c r="B6" s="18"/>
      <c r="C6" s="91">
        <v>0.6</v>
      </c>
      <c r="D6" s="91">
        <v>1.2</v>
      </c>
      <c r="E6" s="91">
        <v>1.8789999999999996</v>
      </c>
      <c r="F6" s="144">
        <v>2.107</v>
      </c>
      <c r="G6" s="144">
        <v>2.3369999999999997</v>
      </c>
      <c r="H6" s="144">
        <v>2.0490000000000004</v>
      </c>
      <c r="I6" s="198">
        <v>2.1029999999999998</v>
      </c>
      <c r="J6" s="198">
        <v>2.242</v>
      </c>
      <c r="K6" s="198">
        <v>1.977</v>
      </c>
      <c r="L6" s="198">
        <v>2.096</v>
      </c>
      <c r="M6" s="198">
        <v>2.167</v>
      </c>
      <c r="N6" s="199">
        <v>2.194</v>
      </c>
      <c r="O6" s="199">
        <v>2.127967619010681</v>
      </c>
      <c r="P6" s="199">
        <v>2.03291274611081</v>
      </c>
      <c r="Q6" s="199">
        <v>1.9884393386259163</v>
      </c>
      <c r="R6" s="199">
        <v>1.9860824067438525</v>
      </c>
      <c r="S6" s="199">
        <v>1.9732682045541132</v>
      </c>
      <c r="T6" s="199">
        <v>1.9323707216941237</v>
      </c>
      <c r="U6" s="199">
        <v>1.867784551122151</v>
      </c>
      <c r="V6" s="199">
        <v>1.7033330509814153</v>
      </c>
      <c r="W6" s="199">
        <v>1.5117099017022468</v>
      </c>
      <c r="X6" s="199">
        <v>1.2762818751940017</v>
      </c>
      <c r="Y6" s="199">
        <v>0.976284592960333</v>
      </c>
      <c r="Z6" s="199">
        <v>0.64379343430139</v>
      </c>
      <c r="AA6" s="199">
        <v>0.24442785428813707</v>
      </c>
      <c r="AB6" s="199">
        <v>-0.20195303316294755</v>
      </c>
      <c r="AC6" s="199">
        <v>-0.6677833579193582</v>
      </c>
      <c r="AD6" s="199">
        <v>-1.1208901218006844</v>
      </c>
      <c r="AE6" s="199">
        <v>-1.525680747421795</v>
      </c>
      <c r="AF6" s="199">
        <v>-1.9227910656143834</v>
      </c>
      <c r="AG6" s="199">
        <v>-2.324652468878387</v>
      </c>
      <c r="AH6" s="199">
        <v>-2.746574777318962</v>
      </c>
      <c r="AI6" s="199">
        <v>-3.2046732105512703</v>
      </c>
      <c r="AJ6" s="199">
        <v>-3.6519075617228403</v>
      </c>
      <c r="AK6" s="199">
        <v>-4.153759411719076</v>
      </c>
      <c r="AL6" s="199">
        <v>-4.637442561162448</v>
      </c>
      <c r="AM6" s="199">
        <v>-5.03989685932136</v>
      </c>
      <c r="AN6" s="199">
        <v>-5.368310355595568</v>
      </c>
      <c r="AO6" s="199">
        <v>-5.620899525637299</v>
      </c>
      <c r="AP6" s="199">
        <v>-5.784226250951349</v>
      </c>
      <c r="AQ6" s="199">
        <v>-5.9354341043337655</v>
      </c>
      <c r="AR6" s="199">
        <v>-6.050625580264537</v>
      </c>
      <c r="AS6" s="199">
        <v>-6.224155765506957</v>
      </c>
      <c r="AT6" s="199">
        <v>-6.424416479501012</v>
      </c>
      <c r="AU6" s="199">
        <v>-6.666297864169948</v>
      </c>
      <c r="AV6" s="199">
        <v>-6.954627963742752</v>
      </c>
      <c r="AW6" s="199">
        <v>-7.3144167861849</v>
      </c>
      <c r="AX6" s="199">
        <v>-7.661123278144373</v>
      </c>
      <c r="AY6" s="199">
        <v>-7.989159847977369</v>
      </c>
      <c r="AZ6" s="199">
        <v>-8.313638615932788</v>
      </c>
      <c r="BA6" s="199">
        <v>-8.610043091839351</v>
      </c>
      <c r="BB6" s="199">
        <v>-9.038415460933294</v>
      </c>
      <c r="BC6" s="199">
        <v>-9.571301482028147</v>
      </c>
      <c r="BD6" s="199">
        <v>-10.261849714664862</v>
      </c>
      <c r="BE6" s="199">
        <v>-11.062029986596684</v>
      </c>
      <c r="BF6" s="199">
        <v>-11.773908854273643</v>
      </c>
      <c r="BG6" s="199">
        <v>-12.476069577929835</v>
      </c>
      <c r="BH6" s="199">
        <v>-13.096654068001726</v>
      </c>
      <c r="BI6" s="199">
        <v>-13.741936961441553</v>
      </c>
      <c r="BJ6" s="199">
        <v>-14.325725488237936</v>
      </c>
      <c r="BK6" s="199">
        <v>-14.794117310488446</v>
      </c>
      <c r="BL6" s="199">
        <v>-15.285731264500455</v>
      </c>
      <c r="BM6" s="199">
        <v>-15.715361063621273</v>
      </c>
      <c r="BN6" s="199">
        <v>-16.336385044864016</v>
      </c>
      <c r="BO6" s="199">
        <v>-16.89974879269434</v>
      </c>
      <c r="BP6" s="199">
        <v>-17.2752710562919</v>
      </c>
      <c r="BQ6" s="199">
        <v>-17.717933081872204</v>
      </c>
      <c r="BR6" s="199">
        <v>-18.35964872800112</v>
      </c>
      <c r="BS6" s="199">
        <v>-19.001156151194223</v>
      </c>
      <c r="BT6" s="199">
        <v>-19.86590820062385</v>
      </c>
      <c r="BU6" s="199">
        <v>-21.07076905293738</v>
      </c>
      <c r="BV6" s="199">
        <v>-22.359554043453898</v>
      </c>
      <c r="BW6" s="199">
        <v>-23.661761651811105</v>
      </c>
      <c r="BX6" s="199">
        <v>-24.92559668506655</v>
      </c>
      <c r="BY6" s="199">
        <v>-26.168498056023736</v>
      </c>
      <c r="BZ6" s="199">
        <v>-27.383769349551926</v>
      </c>
      <c r="CA6" s="199">
        <v>-28.582334319425797</v>
      </c>
      <c r="CB6" s="199">
        <v>-29.775393805038107</v>
      </c>
      <c r="CC6" s="199">
        <v>-30.95677577710086</v>
      </c>
      <c r="CD6" s="199">
        <v>-32.143492877462876</v>
      </c>
      <c r="CE6" s="199">
        <v>-33.343922521541</v>
      </c>
      <c r="CF6" s="199">
        <v>-34.56953082534636</v>
      </c>
      <c r="CG6" s="199">
        <v>-35.81597443028912</v>
      </c>
      <c r="CH6" s="199">
        <v>-37.099170404326486</v>
      </c>
      <c r="CI6" s="199">
        <v>-38.42210099641852</v>
      </c>
      <c r="CJ6" s="199">
        <v>-39.79461145087828</v>
      </c>
      <c r="CK6" s="199">
        <v>-41.22302015387956</v>
      </c>
      <c r="CL6" s="199">
        <v>-42.68782542662666</v>
      </c>
      <c r="CM6" s="199">
        <v>-44.22944588030629</v>
      </c>
      <c r="CN6" s="199">
        <v>-45.833699134149754</v>
      </c>
      <c r="CO6" s="199">
        <v>-47.491740854146485</v>
      </c>
      <c r="CP6" s="199">
        <v>-49.217459583142954</v>
      </c>
      <c r="CQ6" s="199">
        <v>-50.99089391659322</v>
      </c>
      <c r="CR6" s="199">
        <v>-52.804852762536825</v>
      </c>
      <c r="CS6" s="199">
        <v>-54.674516755126604</v>
      </c>
      <c r="CT6" s="199">
        <v>-56.591378611808466</v>
      </c>
      <c r="CU6" s="199">
        <v>-58.570609994715255</v>
      </c>
      <c r="CV6" s="199">
        <v>-60.623269045625875</v>
      </c>
      <c r="CW6" s="199">
        <v>-60.987482000432294</v>
      </c>
      <c r="CX6" s="199">
        <v>-61.30521104174176</v>
      </c>
    </row>
    <row r="7" spans="1:103" ht="12.75">
      <c r="A7" s="20" t="s">
        <v>494</v>
      </c>
      <c r="B7" s="18"/>
      <c r="C7" s="91">
        <v>0.015</v>
      </c>
      <c r="D7" s="91">
        <v>0.06912376388563676</v>
      </c>
      <c r="E7" s="91">
        <v>0.288</v>
      </c>
      <c r="F7" s="144">
        <v>0.646</v>
      </c>
      <c r="G7" s="144">
        <v>1.438</v>
      </c>
      <c r="H7" s="144">
        <v>1.776</v>
      </c>
      <c r="I7" s="198">
        <v>-0.627</v>
      </c>
      <c r="J7" s="198">
        <v>1.3119999999999998</v>
      </c>
      <c r="K7" s="198">
        <v>1.6380000000000001</v>
      </c>
      <c r="L7" s="198">
        <v>1.935</v>
      </c>
      <c r="M7" s="198">
        <v>2.257</v>
      </c>
      <c r="N7" s="199">
        <v>2.594</v>
      </c>
      <c r="O7" s="199">
        <v>2.8690136867416784</v>
      </c>
      <c r="P7" s="199">
        <v>3.237782400396876</v>
      </c>
      <c r="Q7" s="199">
        <v>3.6246520523736487</v>
      </c>
      <c r="R7" s="199">
        <v>4.03483974449061</v>
      </c>
      <c r="S7" s="199">
        <v>4.471359211148231</v>
      </c>
      <c r="T7" s="199">
        <v>4.934312021513369</v>
      </c>
      <c r="U7" s="199">
        <v>5.423187441952926</v>
      </c>
      <c r="V7" s="199">
        <v>5.934507537725844</v>
      </c>
      <c r="W7" s="199">
        <v>6.464099238145023</v>
      </c>
      <c r="X7" s="199">
        <v>7.010129274484908</v>
      </c>
      <c r="Y7" s="199">
        <v>7.569035177518394</v>
      </c>
      <c r="Z7" s="199">
        <v>8.137397371865605</v>
      </c>
      <c r="AA7" s="199">
        <v>8.711612780503453</v>
      </c>
      <c r="AB7" s="199">
        <v>9.28709832785091</v>
      </c>
      <c r="AC7" s="199">
        <v>9.861004426059637</v>
      </c>
      <c r="AD7" s="199">
        <v>10.432868086478695</v>
      </c>
      <c r="AE7" s="199">
        <v>11.005119489399005</v>
      </c>
      <c r="AF7" s="199">
        <v>11.580292188405068</v>
      </c>
      <c r="AG7" s="199">
        <v>12.158731294076654</v>
      </c>
      <c r="AH7" s="199">
        <v>12.739610904282992</v>
      </c>
      <c r="AI7" s="199">
        <v>13.320693397936932</v>
      </c>
      <c r="AJ7" s="199">
        <v>13.900797561455478</v>
      </c>
      <c r="AK7" s="199">
        <v>14.47810567653015</v>
      </c>
      <c r="AL7" s="199">
        <v>15.050703089798953</v>
      </c>
      <c r="AM7" s="199">
        <v>15.622445269005242</v>
      </c>
      <c r="AN7" s="199">
        <v>16.200006654458846</v>
      </c>
      <c r="AO7" s="199">
        <v>16.79024768346267</v>
      </c>
      <c r="AP7" s="199">
        <v>17.401113406947196</v>
      </c>
      <c r="AQ7" s="199">
        <v>18.03850810993228</v>
      </c>
      <c r="AR7" s="199">
        <v>18.706206953685044</v>
      </c>
      <c r="AS7" s="199">
        <v>19.405436884926385</v>
      </c>
      <c r="AT7" s="199">
        <v>20.134524449667182</v>
      </c>
      <c r="AU7" s="199">
        <v>20.892507891799788</v>
      </c>
      <c r="AV7" s="199">
        <v>21.677488069047907</v>
      </c>
      <c r="AW7" s="199">
        <v>22.486193313873894</v>
      </c>
      <c r="AX7" s="199">
        <v>23.317479162342405</v>
      </c>
      <c r="AY7" s="199">
        <v>24.174191493058874</v>
      </c>
      <c r="AZ7" s="199">
        <v>25.05899525544255</v>
      </c>
      <c r="BA7" s="199">
        <v>25.975053251591635</v>
      </c>
      <c r="BB7" s="199">
        <v>26.92026629838108</v>
      </c>
      <c r="BC7" s="199">
        <v>27.886264972296985</v>
      </c>
      <c r="BD7" s="199">
        <v>28.863189379764165</v>
      </c>
      <c r="BE7" s="199">
        <v>29.840095396453492</v>
      </c>
      <c r="BF7" s="199">
        <v>30.81563930764134</v>
      </c>
      <c r="BG7" s="199">
        <v>31.79413764422162</v>
      </c>
      <c r="BH7" s="199">
        <v>32.77958065051129</v>
      </c>
      <c r="BI7" s="199">
        <v>33.77511031834505</v>
      </c>
      <c r="BJ7" s="199">
        <v>34.78279829490706</v>
      </c>
      <c r="BK7" s="199">
        <v>35.81098004155335</v>
      </c>
      <c r="BL7" s="199">
        <v>36.86528347684016</v>
      </c>
      <c r="BM7" s="199">
        <v>37.94892151574519</v>
      </c>
      <c r="BN7" s="199">
        <v>39.058763224712585</v>
      </c>
      <c r="BO7" s="199">
        <v>40.19021882052263</v>
      </c>
      <c r="BP7" s="199">
        <v>41.355050943587095</v>
      </c>
      <c r="BQ7" s="199">
        <v>42.56121511047039</v>
      </c>
      <c r="BR7" s="199">
        <v>43.800195507813136</v>
      </c>
      <c r="BS7" s="199">
        <v>45.06512663694204</v>
      </c>
      <c r="BT7" s="199">
        <v>46.34854227483982</v>
      </c>
      <c r="BU7" s="199">
        <v>47.62754050824035</v>
      </c>
      <c r="BV7" s="199">
        <v>48.8829479647994</v>
      </c>
      <c r="BW7" s="199">
        <v>50.108853956444115</v>
      </c>
      <c r="BX7" s="199">
        <v>51.3042882485672</v>
      </c>
      <c r="BY7" s="199">
        <v>52.46984962658275</v>
      </c>
      <c r="BZ7" s="199">
        <v>53.60566041906436</v>
      </c>
      <c r="CA7" s="199">
        <v>54.71170554881419</v>
      </c>
      <c r="CB7" s="199">
        <v>55.787012646697974</v>
      </c>
      <c r="CC7" s="199">
        <v>56.8302910639504</v>
      </c>
      <c r="CD7" s="199">
        <v>57.839745639022055</v>
      </c>
      <c r="CE7" s="199">
        <v>58.812346755090914</v>
      </c>
      <c r="CF7" s="199">
        <v>59.74401394889248</v>
      </c>
      <c r="CG7" s="199">
        <v>60.63005690525764</v>
      </c>
      <c r="CH7" s="199">
        <v>61.465019391351944</v>
      </c>
      <c r="CI7" s="199">
        <v>62.24224164230863</v>
      </c>
      <c r="CJ7" s="199">
        <v>62.954085852464296</v>
      </c>
      <c r="CK7" s="199">
        <v>63.591705546851344</v>
      </c>
      <c r="CL7" s="199">
        <v>64.14618807816474</v>
      </c>
      <c r="CM7" s="199">
        <v>64.60725735732827</v>
      </c>
      <c r="CN7" s="199">
        <v>64.96271118118005</v>
      </c>
      <c r="CO7" s="199">
        <v>65.20055240488006</v>
      </c>
      <c r="CP7" s="199">
        <v>65.30782526164066</v>
      </c>
      <c r="CQ7" s="199">
        <v>65.27091310433889</v>
      </c>
      <c r="CR7" s="199">
        <v>65.07650556773943</v>
      </c>
      <c r="CS7" s="199">
        <v>64.71011918162867</v>
      </c>
      <c r="CT7" s="199">
        <v>64.15597945130835</v>
      </c>
      <c r="CU7" s="199">
        <v>63.39703687204219</v>
      </c>
      <c r="CV7" s="199">
        <v>62.41397793796966</v>
      </c>
      <c r="CW7" s="199">
        <v>61.25818061616064</v>
      </c>
      <c r="CX7" s="199">
        <v>59.99680856207976</v>
      </c>
      <c r="CY7" s="58"/>
    </row>
    <row r="8" spans="1:103" ht="12.75">
      <c r="A8" s="20" t="s">
        <v>495</v>
      </c>
      <c r="B8" s="18"/>
      <c r="C8" s="91">
        <v>0</v>
      </c>
      <c r="D8" s="91">
        <v>0</v>
      </c>
      <c r="E8" s="91">
        <v>0.095</v>
      </c>
      <c r="F8" s="144">
        <v>0.154</v>
      </c>
      <c r="G8" s="144">
        <v>0.469</v>
      </c>
      <c r="H8" s="144">
        <v>0.707</v>
      </c>
      <c r="I8" s="198">
        <v>0.237</v>
      </c>
      <c r="J8" s="198">
        <v>0.326</v>
      </c>
      <c r="K8" s="198">
        <v>0.419</v>
      </c>
      <c r="L8" s="198">
        <v>0.494</v>
      </c>
      <c r="M8" s="198">
        <v>0.574</v>
      </c>
      <c r="N8" s="199">
        <v>0.655</v>
      </c>
      <c r="O8" s="199">
        <v>0.6885632848180028</v>
      </c>
      <c r="P8" s="199">
        <v>0.7770677760952501</v>
      </c>
      <c r="Q8" s="199">
        <v>0.8699164925696756</v>
      </c>
      <c r="R8" s="199">
        <v>0.9683615386777464</v>
      </c>
      <c r="S8" s="199">
        <v>1.0731262106755755</v>
      </c>
      <c r="T8" s="199">
        <v>1.1842348851632085</v>
      </c>
      <c r="U8" s="199">
        <v>1.3015649860687022</v>
      </c>
      <c r="V8" s="199">
        <v>1.4242818090542027</v>
      </c>
      <c r="W8" s="199">
        <v>1.5513838171548053</v>
      </c>
      <c r="X8" s="199">
        <v>1.6824310258763777</v>
      </c>
      <c r="Y8" s="199">
        <v>1.8165684426044146</v>
      </c>
      <c r="Z8" s="199">
        <v>1.9529753692477452</v>
      </c>
      <c r="AA8" s="199">
        <v>2.0907870673208286</v>
      </c>
      <c r="AB8" s="199">
        <v>2.228903598684218</v>
      </c>
      <c r="AC8" s="199">
        <v>2.366641062254313</v>
      </c>
      <c r="AD8" s="199">
        <v>2.503888340754887</v>
      </c>
      <c r="AE8" s="199">
        <v>2.641228677455761</v>
      </c>
      <c r="AF8" s="199">
        <v>2.779270125217216</v>
      </c>
      <c r="AG8" s="199">
        <v>2.918095510578397</v>
      </c>
      <c r="AH8" s="199">
        <v>3.057506617027918</v>
      </c>
      <c r="AI8" s="199">
        <v>3.1969664155048636</v>
      </c>
      <c r="AJ8" s="199">
        <v>3.336191414749315</v>
      </c>
      <c r="AK8" s="199">
        <v>3.4747453623672357</v>
      </c>
      <c r="AL8" s="199">
        <v>3.6121687415517485</v>
      </c>
      <c r="AM8" s="199">
        <v>3.749386864561258</v>
      </c>
      <c r="AN8" s="199">
        <v>3.888001597070123</v>
      </c>
      <c r="AO8" s="199">
        <v>4.029659444031041</v>
      </c>
      <c r="AP8" s="199">
        <v>4.176267217667327</v>
      </c>
      <c r="AQ8" s="199">
        <v>4.329241946383747</v>
      </c>
      <c r="AR8" s="199">
        <v>4.48948966888441</v>
      </c>
      <c r="AS8" s="199">
        <v>4.657304852382332</v>
      </c>
      <c r="AT8" s="199">
        <v>4.832285867920124</v>
      </c>
      <c r="AU8" s="199">
        <v>5.014201894031949</v>
      </c>
      <c r="AV8" s="199">
        <v>5.202597136571497</v>
      </c>
      <c r="AW8" s="199">
        <v>5.396686395329734</v>
      </c>
      <c r="AX8" s="199">
        <v>5.596194998962177</v>
      </c>
      <c r="AY8" s="199">
        <v>5.801805958334129</v>
      </c>
      <c r="AZ8" s="199">
        <v>6.014158861306212</v>
      </c>
      <c r="BA8" s="199">
        <v>6.234012780381993</v>
      </c>
      <c r="BB8" s="199">
        <v>6.460863911611459</v>
      </c>
      <c r="BC8" s="199">
        <v>6.692703593351276</v>
      </c>
      <c r="BD8" s="199">
        <v>6.9271654511433995</v>
      </c>
      <c r="BE8" s="199">
        <v>7.161622895148838</v>
      </c>
      <c r="BF8" s="199">
        <v>7.395753433833922</v>
      </c>
      <c r="BG8" s="199">
        <v>7.630593034613189</v>
      </c>
      <c r="BH8" s="199">
        <v>7.86709935612271</v>
      </c>
      <c r="BI8" s="199">
        <v>8.106026476402812</v>
      </c>
      <c r="BJ8" s="199">
        <v>8.347871590777695</v>
      </c>
      <c r="BK8" s="199">
        <v>8.594635209972804</v>
      </c>
      <c r="BL8" s="199">
        <v>8.847668034441638</v>
      </c>
      <c r="BM8" s="199">
        <v>9.107741163778845</v>
      </c>
      <c r="BN8" s="199">
        <v>9.37410317393102</v>
      </c>
      <c r="BO8" s="199">
        <v>9.64565251692543</v>
      </c>
      <c r="BP8" s="199">
        <v>9.925212226460902</v>
      </c>
      <c r="BQ8" s="199">
        <v>10.214691626512893</v>
      </c>
      <c r="BR8" s="199">
        <v>10.512046921875152</v>
      </c>
      <c r="BS8" s="199">
        <v>10.815630392866089</v>
      </c>
      <c r="BT8" s="199">
        <v>11.123650145961557</v>
      </c>
      <c r="BU8" s="199">
        <v>11.430609721977683</v>
      </c>
      <c r="BV8" s="199">
        <v>11.731907511551855</v>
      </c>
      <c r="BW8" s="199">
        <v>12.026124949546587</v>
      </c>
      <c r="BX8" s="199">
        <v>12.313029179656127</v>
      </c>
      <c r="BY8" s="199">
        <v>12.59276391037986</v>
      </c>
      <c r="BZ8" s="199">
        <v>12.865358500575445</v>
      </c>
      <c r="CA8" s="199">
        <v>13.130809331715405</v>
      </c>
      <c r="CB8" s="199">
        <v>13.388883035207513</v>
      </c>
      <c r="CC8" s="199">
        <v>13.639269855348095</v>
      </c>
      <c r="CD8" s="199">
        <v>13.881538953365293</v>
      </c>
      <c r="CE8" s="199">
        <v>14.114963221221819</v>
      </c>
      <c r="CF8" s="199">
        <v>14.338563347734194</v>
      </c>
      <c r="CG8" s="199">
        <v>14.551213657261833</v>
      </c>
      <c r="CH8" s="199">
        <v>14.751604653924467</v>
      </c>
      <c r="CI8" s="199">
        <v>14.93813799415407</v>
      </c>
      <c r="CJ8" s="199">
        <v>15.10898060459143</v>
      </c>
      <c r="CK8" s="199">
        <v>15.262009331244322</v>
      </c>
      <c r="CL8" s="199">
        <v>15.395085138759537</v>
      </c>
      <c r="CM8" s="199">
        <v>15.505741765758783</v>
      </c>
      <c r="CN8" s="199">
        <v>15.591050683483212</v>
      </c>
      <c r="CO8" s="199">
        <v>15.648132577171213</v>
      </c>
      <c r="CP8" s="199">
        <v>15.673878062793758</v>
      </c>
      <c r="CQ8" s="199">
        <v>15.665019145041333</v>
      </c>
      <c r="CR8" s="199">
        <v>15.618361336257463</v>
      </c>
      <c r="CS8" s="199">
        <v>15.530428603590881</v>
      </c>
      <c r="CT8" s="199">
        <v>15.397435068314005</v>
      </c>
      <c r="CU8" s="199">
        <v>15.215288849290125</v>
      </c>
      <c r="CV8" s="199">
        <v>14.97935470511272</v>
      </c>
      <c r="CW8" s="199">
        <v>14.701963347878552</v>
      </c>
      <c r="CX8" s="199">
        <v>14.399234054899141</v>
      </c>
      <c r="CY8" s="58"/>
    </row>
    <row r="9" spans="1:103" ht="12.75">
      <c r="A9" s="20" t="s">
        <v>592</v>
      </c>
      <c r="B9" s="18"/>
      <c r="C9" s="91">
        <v>0.615</v>
      </c>
      <c r="D9" s="91">
        <v>1.884014931885637</v>
      </c>
      <c r="E9" s="91">
        <v>3.956</v>
      </c>
      <c r="F9" s="144">
        <v>6.555</v>
      </c>
      <c r="G9" s="144">
        <v>9.855</v>
      </c>
      <c r="H9" s="144">
        <v>12.973</v>
      </c>
      <c r="I9" s="198">
        <v>14.212</v>
      </c>
      <c r="J9" s="198">
        <v>17.44</v>
      </c>
      <c r="K9" s="198">
        <v>20.636000000000003</v>
      </c>
      <c r="L9" s="198">
        <v>24.173000000000002</v>
      </c>
      <c r="M9" s="198">
        <v>28.023000000000003</v>
      </c>
      <c r="N9" s="199">
        <v>32.156</v>
      </c>
      <c r="O9" s="199">
        <v>36.46441802093436</v>
      </c>
      <c r="P9" s="199">
        <v>40.95804539134679</v>
      </c>
      <c r="Q9" s="199">
        <v>45.701220289776685</v>
      </c>
      <c r="R9" s="199">
        <v>50.7537809023334</v>
      </c>
      <c r="S9" s="199">
        <v>56.12528210736018</v>
      </c>
      <c r="T9" s="199">
        <v>61.80772996540446</v>
      </c>
      <c r="U9" s="199">
        <v>67.79713697241084</v>
      </c>
      <c r="V9" s="199">
        <v>74.0106957520639</v>
      </c>
      <c r="W9" s="199">
        <v>80.43512107475635</v>
      </c>
      <c r="X9" s="199">
        <v>87.03910119855888</v>
      </c>
      <c r="Y9" s="199">
        <v>93.76785252643319</v>
      </c>
      <c r="Z9" s="199">
        <v>100.59606796335244</v>
      </c>
      <c r="AA9" s="199">
        <v>107.4613215308232</v>
      </c>
      <c r="AB9" s="199">
        <v>114.31756322682693</v>
      </c>
      <c r="AC9" s="199">
        <v>121.14414323271289</v>
      </c>
      <c r="AD9" s="199">
        <v>127.95223285663602</v>
      </c>
      <c r="AE9" s="199">
        <v>134.79044292115745</v>
      </c>
      <c r="AF9" s="199">
        <v>141.66867391873092</v>
      </c>
      <c r="AG9" s="199">
        <v>148.58465723335078</v>
      </c>
      <c r="AH9" s="199">
        <v>155.5201867432869</v>
      </c>
      <c r="AI9" s="199">
        <v>162.43924051516768</v>
      </c>
      <c r="AJ9" s="199">
        <v>169.351939100151</v>
      </c>
      <c r="AK9" s="199">
        <v>176.2015400025948</v>
      </c>
      <c r="AL9" s="199">
        <v>183.00263178967955</v>
      </c>
      <c r="AM9" s="199">
        <v>189.83579333480216</v>
      </c>
      <c r="AN9" s="199">
        <v>196.7794880365953</v>
      </c>
      <c r="AO9" s="199">
        <v>203.91917675038962</v>
      </c>
      <c r="AP9" s="199">
        <v>211.35979668871815</v>
      </c>
      <c r="AQ9" s="199">
        <v>219.1336287479329</v>
      </c>
      <c r="AR9" s="199">
        <v>227.29972045246902</v>
      </c>
      <c r="AS9" s="199">
        <v>235.8236967195061</v>
      </c>
      <c r="AT9" s="199">
        <v>244.70151882175213</v>
      </c>
      <c r="AU9" s="199">
        <v>253.91352695535</v>
      </c>
      <c r="AV9" s="199">
        <v>263.43378992408367</v>
      </c>
      <c r="AW9" s="199">
        <v>273.2088800564429</v>
      </c>
      <c r="AX9" s="199">
        <v>283.2690409416788</v>
      </c>
      <c r="AY9" s="199">
        <v>293.65226662842616</v>
      </c>
      <c r="AZ9" s="199">
        <v>304.3834644066297</v>
      </c>
      <c r="BA9" s="199">
        <v>315.51446178599997</v>
      </c>
      <c r="BB9" s="199">
        <v>326.93544871183633</v>
      </c>
      <c r="BC9" s="199">
        <v>338.5577086087539</v>
      </c>
      <c r="BD9" s="199">
        <v>350.23188282270985</v>
      </c>
      <c r="BE9" s="199">
        <v>361.8483253374178</v>
      </c>
      <c r="BF9" s="199">
        <v>373.49430235695155</v>
      </c>
      <c r="BG9" s="199">
        <v>385.18177738863017</v>
      </c>
      <c r="BH9" s="199">
        <v>396.997604615017</v>
      </c>
      <c r="BI9" s="199">
        <v>408.9247514955176</v>
      </c>
      <c r="BJ9" s="199">
        <v>421.03395271140903</v>
      </c>
      <c r="BK9" s="199">
        <v>433.45618023250114</v>
      </c>
      <c r="BL9" s="199">
        <v>446.18806441039925</v>
      </c>
      <c r="BM9" s="199">
        <v>459.3138836987443</v>
      </c>
      <c r="BN9" s="199">
        <v>472.66215870466186</v>
      </c>
      <c r="BO9" s="199">
        <v>486.30697621556476</v>
      </c>
      <c r="BP9" s="199">
        <v>500.46154387639905</v>
      </c>
      <c r="BQ9" s="199">
        <v>515.0901342784844</v>
      </c>
      <c r="BR9" s="199">
        <v>530.0186341364213</v>
      </c>
      <c r="BS9" s="199">
        <v>545.2669742293031</v>
      </c>
      <c r="BT9" s="199">
        <v>560.6259581575575</v>
      </c>
      <c r="BU9" s="199">
        <v>575.7521198908828</v>
      </c>
      <c r="BV9" s="199">
        <v>590.5436063006764</v>
      </c>
      <c r="BW9" s="199">
        <v>604.9645736557629</v>
      </c>
      <c r="BX9" s="199">
        <v>619.0302360396074</v>
      </c>
      <c r="BY9" s="199">
        <v>632.7388236997866</v>
      </c>
      <c r="BZ9" s="199">
        <v>646.0953562687237</v>
      </c>
      <c r="CA9" s="199">
        <v>659.0939181663966</v>
      </c>
      <c r="CB9" s="199">
        <v>671.716653972849</v>
      </c>
      <c r="CC9" s="199">
        <v>683.9508994043504</v>
      </c>
      <c r="CD9" s="199">
        <v>695.7656132125442</v>
      </c>
      <c r="CE9" s="199">
        <v>707.1190742248723</v>
      </c>
      <c r="CF9" s="199">
        <v>717.9549940006841</v>
      </c>
      <c r="CG9" s="199">
        <v>728.2178628183908</v>
      </c>
      <c r="CH9" s="199">
        <v>737.8321071514918</v>
      </c>
      <c r="CI9" s="199">
        <v>746.7141098032278</v>
      </c>
      <c r="CJ9" s="199">
        <v>754.7646036002224</v>
      </c>
      <c r="CK9" s="199">
        <v>761.8712796619498</v>
      </c>
      <c r="CL9" s="199">
        <v>767.9345571747283</v>
      </c>
      <c r="CM9" s="199">
        <v>772.8066268859916</v>
      </c>
      <c r="CN9" s="199">
        <v>776.3445882495387</v>
      </c>
      <c r="CO9" s="199">
        <v>778.4052672231011</v>
      </c>
      <c r="CP9" s="199">
        <v>778.821754838805</v>
      </c>
      <c r="CQ9" s="199">
        <v>777.4367548815093</v>
      </c>
      <c r="CR9" s="199">
        <v>774.0900463504544</v>
      </c>
      <c r="CS9" s="199">
        <v>768.5952201733656</v>
      </c>
      <c r="CT9" s="199">
        <v>760.7623859445516</v>
      </c>
      <c r="CU9" s="199">
        <v>750.3735239725885</v>
      </c>
      <c r="CV9" s="199">
        <v>737.1848781598195</v>
      </c>
      <c r="CW9" s="199">
        <v>722.7536134276693</v>
      </c>
      <c r="CX9" s="199">
        <v>707.0459768931081</v>
      </c>
      <c r="CY9" s="66"/>
    </row>
    <row r="10" spans="1:102" ht="12.75">
      <c r="A10" s="65" t="s">
        <v>593</v>
      </c>
      <c r="C10" s="68">
        <f aca="true" t="shared" si="0" ref="C10:AH10">ROUND(B9+C6+C7-C8-C9,3)</f>
        <v>0</v>
      </c>
      <c r="D10" s="68">
        <f t="shared" si="0"/>
        <v>0</v>
      </c>
      <c r="E10" s="68">
        <f t="shared" si="0"/>
        <v>0</v>
      </c>
      <c r="F10" s="68">
        <f t="shared" si="0"/>
        <v>0</v>
      </c>
      <c r="G10" s="68">
        <f t="shared" si="0"/>
        <v>0.006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119">
        <f t="shared" si="0"/>
        <v>0</v>
      </c>
      <c r="N10" s="119">
        <f t="shared" si="0"/>
        <v>0</v>
      </c>
      <c r="O10" s="119">
        <f t="shared" si="0"/>
        <v>0</v>
      </c>
      <c r="P10" s="119">
        <f t="shared" si="0"/>
        <v>0</v>
      </c>
      <c r="Q10" s="119">
        <f t="shared" si="0"/>
        <v>0</v>
      </c>
      <c r="R10" s="119">
        <f t="shared" si="0"/>
        <v>0</v>
      </c>
      <c r="S10" s="119">
        <f t="shared" si="0"/>
        <v>0</v>
      </c>
      <c r="T10" s="119">
        <f t="shared" si="0"/>
        <v>0</v>
      </c>
      <c r="U10" s="119">
        <f t="shared" si="0"/>
        <v>0</v>
      </c>
      <c r="V10" s="119">
        <f t="shared" si="0"/>
        <v>0</v>
      </c>
      <c r="W10" s="119">
        <f t="shared" si="0"/>
        <v>0</v>
      </c>
      <c r="X10" s="119">
        <f t="shared" si="0"/>
        <v>0</v>
      </c>
      <c r="Y10" s="119">
        <f t="shared" si="0"/>
        <v>0</v>
      </c>
      <c r="Z10" s="119">
        <f t="shared" si="0"/>
        <v>0</v>
      </c>
      <c r="AA10" s="119">
        <f t="shared" si="0"/>
        <v>0</v>
      </c>
      <c r="AB10" s="119">
        <f t="shared" si="0"/>
        <v>0</v>
      </c>
      <c r="AC10" s="119">
        <f t="shared" si="0"/>
        <v>0</v>
      </c>
      <c r="AD10" s="119">
        <f t="shared" si="0"/>
        <v>0</v>
      </c>
      <c r="AE10" s="119">
        <f t="shared" si="0"/>
        <v>0</v>
      </c>
      <c r="AF10" s="119">
        <f t="shared" si="0"/>
        <v>0</v>
      </c>
      <c r="AG10" s="119">
        <f t="shared" si="0"/>
        <v>0</v>
      </c>
      <c r="AH10" s="119">
        <f t="shared" si="0"/>
        <v>0</v>
      </c>
      <c r="AI10" s="119">
        <f aca="true" t="shared" si="1" ref="AI10:BN10">ROUND(AH9+AI6+AI7-AI8-AI9,3)</f>
        <v>0</v>
      </c>
      <c r="AJ10" s="119">
        <f t="shared" si="1"/>
        <v>0</v>
      </c>
      <c r="AK10" s="119">
        <f t="shared" si="1"/>
        <v>0</v>
      </c>
      <c r="AL10" s="119">
        <f t="shared" si="1"/>
        <v>0</v>
      </c>
      <c r="AM10" s="119">
        <f t="shared" si="1"/>
        <v>0</v>
      </c>
      <c r="AN10" s="119">
        <f t="shared" si="1"/>
        <v>0</v>
      </c>
      <c r="AO10" s="119">
        <f t="shared" si="1"/>
        <v>0</v>
      </c>
      <c r="AP10" s="119">
        <f t="shared" si="1"/>
        <v>0</v>
      </c>
      <c r="AQ10" s="119">
        <f t="shared" si="1"/>
        <v>0</v>
      </c>
      <c r="AR10" s="119">
        <f t="shared" si="1"/>
        <v>0</v>
      </c>
      <c r="AS10" s="119">
        <f t="shared" si="1"/>
        <v>0</v>
      </c>
      <c r="AT10" s="119">
        <f t="shared" si="1"/>
        <v>0</v>
      </c>
      <c r="AU10" s="119">
        <f t="shared" si="1"/>
        <v>0</v>
      </c>
      <c r="AV10" s="119">
        <f t="shared" si="1"/>
        <v>0</v>
      </c>
      <c r="AW10" s="119">
        <f t="shared" si="1"/>
        <v>0</v>
      </c>
      <c r="AX10" s="119">
        <f t="shared" si="1"/>
        <v>0</v>
      </c>
      <c r="AY10" s="119">
        <f t="shared" si="1"/>
        <v>0</v>
      </c>
      <c r="AZ10" s="119">
        <f t="shared" si="1"/>
        <v>0</v>
      </c>
      <c r="BA10" s="119">
        <f t="shared" si="1"/>
        <v>0</v>
      </c>
      <c r="BB10" s="119">
        <f t="shared" si="1"/>
        <v>0</v>
      </c>
      <c r="BC10" s="119">
        <f t="shared" si="1"/>
        <v>0</v>
      </c>
      <c r="BD10" s="119">
        <f t="shared" si="1"/>
        <v>0</v>
      </c>
      <c r="BE10" s="119">
        <f t="shared" si="1"/>
        <v>0</v>
      </c>
      <c r="BF10" s="119">
        <f t="shared" si="1"/>
        <v>0</v>
      </c>
      <c r="BG10" s="119">
        <f t="shared" si="1"/>
        <v>0</v>
      </c>
      <c r="BH10" s="119">
        <f t="shared" si="1"/>
        <v>0</v>
      </c>
      <c r="BI10" s="119">
        <f t="shared" si="1"/>
        <v>0</v>
      </c>
      <c r="BJ10" s="119">
        <f t="shared" si="1"/>
        <v>0</v>
      </c>
      <c r="BK10" s="119">
        <f t="shared" si="1"/>
        <v>0</v>
      </c>
      <c r="BL10" s="119">
        <f t="shared" si="1"/>
        <v>0</v>
      </c>
      <c r="BM10" s="119">
        <f t="shared" si="1"/>
        <v>0</v>
      </c>
      <c r="BN10" s="119">
        <f t="shared" si="1"/>
        <v>0</v>
      </c>
      <c r="BO10" s="119">
        <f aca="true" t="shared" si="2" ref="BO10:CT10">ROUND(BN9+BO6+BO7-BO8-BO9,3)</f>
        <v>0</v>
      </c>
      <c r="BP10" s="119">
        <f t="shared" si="2"/>
        <v>0</v>
      </c>
      <c r="BQ10" s="119">
        <f t="shared" si="2"/>
        <v>0</v>
      </c>
      <c r="BR10" s="119">
        <f t="shared" si="2"/>
        <v>0</v>
      </c>
      <c r="BS10" s="119">
        <f t="shared" si="2"/>
        <v>0</v>
      </c>
      <c r="BT10" s="119">
        <f t="shared" si="2"/>
        <v>0</v>
      </c>
      <c r="BU10" s="119">
        <f t="shared" si="2"/>
        <v>0</v>
      </c>
      <c r="BV10" s="119">
        <f t="shared" si="2"/>
        <v>0</v>
      </c>
      <c r="BW10" s="119">
        <f t="shared" si="2"/>
        <v>0</v>
      </c>
      <c r="BX10" s="119">
        <f t="shared" si="2"/>
        <v>0</v>
      </c>
      <c r="BY10" s="119">
        <f t="shared" si="2"/>
        <v>0</v>
      </c>
      <c r="BZ10" s="119">
        <f t="shared" si="2"/>
        <v>0</v>
      </c>
      <c r="CA10" s="119">
        <f t="shared" si="2"/>
        <v>0</v>
      </c>
      <c r="CB10" s="119">
        <f t="shared" si="2"/>
        <v>0</v>
      </c>
      <c r="CC10" s="119">
        <f t="shared" si="2"/>
        <v>0</v>
      </c>
      <c r="CD10" s="119">
        <f t="shared" si="2"/>
        <v>0</v>
      </c>
      <c r="CE10" s="119">
        <f t="shared" si="2"/>
        <v>0</v>
      </c>
      <c r="CF10" s="119">
        <f t="shared" si="2"/>
        <v>0</v>
      </c>
      <c r="CG10" s="119">
        <f t="shared" si="2"/>
        <v>0</v>
      </c>
      <c r="CH10" s="119">
        <f t="shared" si="2"/>
        <v>0</v>
      </c>
      <c r="CI10" s="119">
        <f t="shared" si="2"/>
        <v>0</v>
      </c>
      <c r="CJ10" s="119">
        <f t="shared" si="2"/>
        <v>0</v>
      </c>
      <c r="CK10" s="119">
        <f t="shared" si="2"/>
        <v>0</v>
      </c>
      <c r="CL10" s="119">
        <f t="shared" si="2"/>
        <v>0</v>
      </c>
      <c r="CM10" s="119">
        <f t="shared" si="2"/>
        <v>0</v>
      </c>
      <c r="CN10" s="119">
        <f t="shared" si="2"/>
        <v>0</v>
      </c>
      <c r="CO10" s="119">
        <f t="shared" si="2"/>
        <v>0</v>
      </c>
      <c r="CP10" s="119">
        <f t="shared" si="2"/>
        <v>0</v>
      </c>
      <c r="CQ10" s="119">
        <f t="shared" si="2"/>
        <v>0</v>
      </c>
      <c r="CR10" s="119">
        <f t="shared" si="2"/>
        <v>0</v>
      </c>
      <c r="CS10" s="119">
        <f t="shared" si="2"/>
        <v>0</v>
      </c>
      <c r="CT10" s="119">
        <f t="shared" si="2"/>
        <v>0</v>
      </c>
      <c r="CU10" s="119">
        <f>ROUND(CT9+CU6+CU7-CU8-CU9,3)</f>
        <v>0</v>
      </c>
      <c r="CV10" s="119">
        <f>ROUND(CU9+CV6+CV7-CV8-CV9,3)</f>
        <v>0</v>
      </c>
      <c r="CW10" s="119">
        <f>ROUND(CV9+CW6+CW7-CW8-CW9,3)</f>
        <v>0</v>
      </c>
      <c r="CX10" s="119">
        <f>ROUND(CW9+CX6+CX7-CX8-CX9,3)</f>
        <v>0</v>
      </c>
    </row>
    <row r="11" spans="1:13" ht="12.75">
      <c r="A11" s="6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80" ht="18.75">
      <c r="A12" s="21" t="s">
        <v>945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12.75">
      <c r="A13" s="28" t="s">
        <v>497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 ht="12.75">
      <c r="A14" s="12"/>
      <c r="B14" s="12"/>
      <c r="C14" s="93" t="s">
        <v>253</v>
      </c>
      <c r="D14" s="93" t="s">
        <v>254</v>
      </c>
      <c r="E14" s="93" t="s">
        <v>255</v>
      </c>
      <c r="F14" s="93" t="s">
        <v>256</v>
      </c>
      <c r="G14" s="93" t="s">
        <v>257</v>
      </c>
      <c r="H14" s="204" t="s">
        <v>258</v>
      </c>
      <c r="I14" s="204" t="s">
        <v>259</v>
      </c>
      <c r="J14" s="204" t="s">
        <v>260</v>
      </c>
      <c r="K14" s="204" t="s">
        <v>261</v>
      </c>
      <c r="L14" s="204" t="s">
        <v>262</v>
      </c>
      <c r="M14" s="22" t="s">
        <v>263</v>
      </c>
      <c r="N14" s="22" t="s">
        <v>264</v>
      </c>
      <c r="O14" s="22" t="s">
        <v>265</v>
      </c>
      <c r="P14" s="22" t="s">
        <v>266</v>
      </c>
      <c r="Q14" s="22" t="s">
        <v>267</v>
      </c>
      <c r="R14" s="22" t="s">
        <v>268</v>
      </c>
      <c r="S14" s="22" t="s">
        <v>269</v>
      </c>
      <c r="T14" s="22" t="s">
        <v>270</v>
      </c>
      <c r="U14" s="22" t="s">
        <v>271</v>
      </c>
      <c r="V14" s="22" t="s">
        <v>272</v>
      </c>
      <c r="W14" s="22" t="s">
        <v>273</v>
      </c>
      <c r="X14" s="22" t="s">
        <v>277</v>
      </c>
      <c r="Y14" s="22" t="s">
        <v>278</v>
      </c>
      <c r="Z14" s="22" t="s">
        <v>279</v>
      </c>
      <c r="AA14" s="22" t="s">
        <v>280</v>
      </c>
      <c r="AB14" s="22" t="s">
        <v>281</v>
      </c>
      <c r="AC14" s="22" t="s">
        <v>282</v>
      </c>
      <c r="AD14" s="22" t="s">
        <v>283</v>
      </c>
      <c r="AE14" s="22" t="s">
        <v>284</v>
      </c>
      <c r="AF14" s="22" t="s">
        <v>285</v>
      </c>
      <c r="AG14" s="22" t="s">
        <v>286</v>
      </c>
      <c r="AH14" s="22" t="s">
        <v>287</v>
      </c>
      <c r="AI14" s="22" t="s">
        <v>288</v>
      </c>
      <c r="AJ14" s="22" t="s">
        <v>289</v>
      </c>
      <c r="AK14" s="22" t="s">
        <v>290</v>
      </c>
      <c r="AL14" s="22" t="s">
        <v>291</v>
      </c>
      <c r="AM14" s="22" t="s">
        <v>292</v>
      </c>
      <c r="AN14" s="22" t="s">
        <v>293</v>
      </c>
      <c r="AO14" s="22" t="s">
        <v>294</v>
      </c>
      <c r="AP14" s="22" t="s">
        <v>295</v>
      </c>
      <c r="AQ14" s="22" t="s">
        <v>296</v>
      </c>
      <c r="AR14" s="22" t="s">
        <v>297</v>
      </c>
      <c r="AS14" s="22" t="s">
        <v>298</v>
      </c>
      <c r="AT14" s="22" t="s">
        <v>299</v>
      </c>
      <c r="AU14" s="22" t="s">
        <v>300</v>
      </c>
      <c r="AV14" s="22" t="s">
        <v>301</v>
      </c>
      <c r="AW14" s="22" t="s">
        <v>302</v>
      </c>
      <c r="AX14" s="22" t="s">
        <v>303</v>
      </c>
      <c r="AY14" s="22" t="s">
        <v>405</v>
      </c>
      <c r="AZ14" s="22" t="s">
        <v>406</v>
      </c>
      <c r="BA14" s="22" t="s">
        <v>407</v>
      </c>
      <c r="BB14" s="22" t="s">
        <v>408</v>
      </c>
      <c r="BC14" s="22" t="s">
        <v>410</v>
      </c>
      <c r="BD14" s="22" t="s">
        <v>411</v>
      </c>
      <c r="BE14" s="22" t="s">
        <v>412</v>
      </c>
      <c r="BF14" s="22" t="s">
        <v>413</v>
      </c>
      <c r="BG14" s="22" t="s">
        <v>414</v>
      </c>
      <c r="BH14" s="22" t="s">
        <v>415</v>
      </c>
      <c r="BI14" s="22" t="s">
        <v>416</v>
      </c>
      <c r="BJ14" s="22" t="s">
        <v>417</v>
      </c>
      <c r="BK14" s="22" t="s">
        <v>418</v>
      </c>
      <c r="BL14" s="22" t="s">
        <v>419</v>
      </c>
      <c r="BM14" s="22" t="s">
        <v>420</v>
      </c>
      <c r="BN14" s="22" t="s">
        <v>421</v>
      </c>
      <c r="BO14" s="22" t="s">
        <v>422</v>
      </c>
      <c r="BP14" s="22" t="s">
        <v>423</v>
      </c>
      <c r="BQ14" s="22" t="s">
        <v>424</v>
      </c>
      <c r="BR14" s="22" t="s">
        <v>425</v>
      </c>
      <c r="BS14" s="22" t="s">
        <v>426</v>
      </c>
      <c r="BT14" s="22" t="s">
        <v>427</v>
      </c>
      <c r="BU14" s="22" t="s">
        <v>428</v>
      </c>
      <c r="BV14" s="22" t="s">
        <v>429</v>
      </c>
      <c r="BW14" s="22" t="s">
        <v>430</v>
      </c>
      <c r="BX14" s="22" t="s">
        <v>431</v>
      </c>
      <c r="BY14" s="22" t="s">
        <v>432</v>
      </c>
      <c r="BZ14" s="22" t="s">
        <v>433</v>
      </c>
      <c r="CA14" s="22" t="s">
        <v>434</v>
      </c>
      <c r="CB14" s="22" t="s">
        <v>435</v>
      </c>
    </row>
    <row r="15" spans="1:80" ht="12.75">
      <c r="A15" s="23" t="s">
        <v>496</v>
      </c>
      <c r="B15" s="12"/>
      <c r="C15" s="94"/>
      <c r="D15" s="94"/>
      <c r="E15" s="94">
        <v>0.762</v>
      </c>
      <c r="F15" s="94">
        <v>0.773</v>
      </c>
      <c r="G15" s="94">
        <v>0.788581933742139</v>
      </c>
      <c r="H15" s="364">
        <v>0.2728145665774036</v>
      </c>
      <c r="I15" s="205">
        <v>0.82747000935035</v>
      </c>
      <c r="J15" s="205">
        <v>0.84872900782302</v>
      </c>
      <c r="K15" s="205">
        <v>0.8702998135959</v>
      </c>
      <c r="L15" s="205">
        <v>0.8922696718584501</v>
      </c>
      <c r="M15" s="13">
        <v>0.8920302494823</v>
      </c>
      <c r="N15" s="13">
        <v>0.89001538844866</v>
      </c>
      <c r="O15" s="13">
        <v>0.89474864285596</v>
      </c>
      <c r="P15" s="13">
        <v>0.9040898693313</v>
      </c>
      <c r="Q15" s="13">
        <v>0.910134948062897</v>
      </c>
      <c r="R15" s="13">
        <v>0.9139261037810401</v>
      </c>
      <c r="S15" s="13">
        <v>0.9178861816267145</v>
      </c>
      <c r="T15" s="13">
        <v>0.9215329759144504</v>
      </c>
      <c r="U15" s="13">
        <v>0.9219896579805863</v>
      </c>
      <c r="V15" s="13">
        <v>0.9170987531410074</v>
      </c>
      <c r="W15" s="13">
        <v>0.9131377296008778</v>
      </c>
      <c r="X15" s="13">
        <v>0.9063124234643576</v>
      </c>
      <c r="Y15" s="13">
        <v>0.8970685067819896</v>
      </c>
      <c r="Z15" s="13">
        <v>0.8860505295340354</v>
      </c>
      <c r="AA15" s="13">
        <v>0.8720146550572009</v>
      </c>
      <c r="AB15" s="13">
        <v>0.8561608804981246</v>
      </c>
      <c r="AC15" s="13">
        <v>0.8394085203244516</v>
      </c>
      <c r="AD15" s="13">
        <v>0.8199424204097958</v>
      </c>
      <c r="AE15" s="13">
        <v>0.7995715723799968</v>
      </c>
      <c r="AF15" s="13">
        <v>0.7768803770134842</v>
      </c>
      <c r="AG15" s="13">
        <v>0.7521321700216163</v>
      </c>
      <c r="AH15" s="13">
        <v>0.7247648225929763</v>
      </c>
      <c r="AI15" s="13">
        <v>0.6956219635652678</v>
      </c>
      <c r="AJ15" s="13">
        <v>0.6646970703535399</v>
      </c>
      <c r="AK15" s="13">
        <v>0.6328443102823</v>
      </c>
      <c r="AL15" s="13">
        <v>0.6003671964033099</v>
      </c>
      <c r="AM15" s="13">
        <v>0.56741796520208</v>
      </c>
      <c r="AN15" s="13">
        <v>0.534217994126928</v>
      </c>
      <c r="AO15" s="13">
        <v>0.5009929625182191</v>
      </c>
      <c r="AP15" s="13">
        <v>0.46795576409049994</v>
      </c>
      <c r="AQ15" s="13">
        <v>0.43528718763290003</v>
      </c>
      <c r="AR15" s="13">
        <v>0.40318712840489995</v>
      </c>
      <c r="AS15" s="13">
        <v>0.3413787680556</v>
      </c>
      <c r="AT15" s="13">
        <v>0.3119476089735</v>
      </c>
      <c r="AU15" s="13">
        <v>0.2836956716858</v>
      </c>
      <c r="AV15" s="13">
        <v>0.2567299046433</v>
      </c>
      <c r="AW15" s="13">
        <v>0.23110271635830001</v>
      </c>
      <c r="AX15" s="13">
        <v>0.20695149661509998</v>
      </c>
      <c r="AY15" s="13">
        <v>0.1843013118653</v>
      </c>
      <c r="AZ15" s="13">
        <v>0.16316130089369002</v>
      </c>
      <c r="BA15" s="13">
        <v>0.14359323304743</v>
      </c>
      <c r="BB15" s="13">
        <v>0.12558740073062</v>
      </c>
      <c r="BC15" s="13">
        <v>0.10912821489121</v>
      </c>
      <c r="BD15" s="13">
        <v>0.09420729097504</v>
      </c>
      <c r="BE15" s="13">
        <v>0.08079956482162101</v>
      </c>
      <c r="BF15" s="13">
        <v>0.06878075056444</v>
      </c>
      <c r="BG15" s="13">
        <v>0.05805917559432999</v>
      </c>
      <c r="BH15" s="13">
        <v>0.0486481328648</v>
      </c>
      <c r="BI15" s="13">
        <v>0.04040724869064</v>
      </c>
      <c r="BJ15" s="13">
        <v>0.03319773467992</v>
      </c>
      <c r="BK15" s="13">
        <v>0.026982868419030002</v>
      </c>
      <c r="BL15" s="13">
        <v>0.021663884373369</v>
      </c>
      <c r="BM15" s="13">
        <v>0.017218687822391</v>
      </c>
      <c r="BN15" s="13">
        <v>0.013559773543231003</v>
      </c>
      <c r="BO15" s="13">
        <v>0.010538097410648</v>
      </c>
      <c r="BP15" s="13">
        <v>0.00806742041437</v>
      </c>
      <c r="BQ15" s="13">
        <v>0.0060974849938515</v>
      </c>
      <c r="BR15" s="13">
        <v>0.0045240300861000005</v>
      </c>
      <c r="BS15" s="13">
        <v>0.0032573424102999996</v>
      </c>
      <c r="BT15" s="13">
        <v>0.00228998915731</v>
      </c>
      <c r="BU15" s="13">
        <v>0.0015791689483500005</v>
      </c>
      <c r="BV15" s="13">
        <v>0.0010419452908199999</v>
      </c>
      <c r="BW15" s="13">
        <v>0.000641748184134</v>
      </c>
      <c r="BX15" s="13">
        <v>0.00037513910402600003</v>
      </c>
      <c r="BY15" s="13">
        <v>0.00020850201745689997</v>
      </c>
      <c r="BZ15" s="13">
        <v>0.00011120883263299999</v>
      </c>
      <c r="CA15" s="13">
        <v>0</v>
      </c>
      <c r="CB15" s="13">
        <v>0</v>
      </c>
    </row>
    <row r="16" spans="1:80" ht="12.75">
      <c r="A16" s="23" t="s">
        <v>632</v>
      </c>
      <c r="B16" s="12"/>
      <c r="C16" s="94"/>
      <c r="D16" s="94"/>
      <c r="E16" s="94">
        <v>14.101838651089306</v>
      </c>
      <c r="F16" s="94">
        <v>15.289161494110528</v>
      </c>
      <c r="G16" s="94">
        <v>15.554</v>
      </c>
      <c r="H16" s="364">
        <v>11.801333333333334</v>
      </c>
      <c r="I16" s="205">
        <v>11.917</v>
      </c>
      <c r="J16" s="205">
        <v>11.88</v>
      </c>
      <c r="K16" s="205">
        <v>11.804</v>
      </c>
      <c r="L16" s="205">
        <v>11.702</v>
      </c>
      <c r="M16" s="13">
        <v>11.594</v>
      </c>
      <c r="N16" s="13">
        <v>11.354129097305268</v>
      </c>
      <c r="O16" s="13">
        <v>11.247206515341338</v>
      </c>
      <c r="P16" s="13">
        <v>11.124812535640737</v>
      </c>
      <c r="Q16" s="13">
        <v>10.974861253617515</v>
      </c>
      <c r="R16" s="13">
        <v>10.8007270474384</v>
      </c>
      <c r="S16" s="13">
        <v>10.605162131821666</v>
      </c>
      <c r="T16" s="13">
        <v>10.386934355112185</v>
      </c>
      <c r="U16" s="13">
        <v>10.145072053004814</v>
      </c>
      <c r="V16" s="13">
        <v>9.881746000541943</v>
      </c>
      <c r="W16" s="13">
        <v>9.602236248959251</v>
      </c>
      <c r="X16" s="13">
        <v>9.304657871795309</v>
      </c>
      <c r="Y16" s="13">
        <v>8.991321198774658</v>
      </c>
      <c r="Z16" s="13">
        <v>8.664265536312108</v>
      </c>
      <c r="AA16" s="13">
        <v>8.324758684883896</v>
      </c>
      <c r="AB16" s="13">
        <v>7.975719278354214</v>
      </c>
      <c r="AC16" s="13">
        <v>7.61878044932702</v>
      </c>
      <c r="AD16" s="13">
        <v>7.254613990022079</v>
      </c>
      <c r="AE16" s="13">
        <v>6.885841719946433</v>
      </c>
      <c r="AF16" s="13">
        <v>6.513353373294247</v>
      </c>
      <c r="AG16" s="13">
        <v>6.139373227621173</v>
      </c>
      <c r="AH16" s="13">
        <v>5.766009920794914</v>
      </c>
      <c r="AI16" s="13">
        <v>5.3961511269833</v>
      </c>
      <c r="AJ16" s="13">
        <v>5.0319164913293495</v>
      </c>
      <c r="AK16" s="13">
        <v>4.675572207161559</v>
      </c>
      <c r="AL16" s="13">
        <v>4.328651429036832</v>
      </c>
      <c r="AM16" s="13">
        <v>3.992448343875667</v>
      </c>
      <c r="AN16" s="13">
        <v>3.668173958094803</v>
      </c>
      <c r="AO16" s="13">
        <v>3.3568899530105347</v>
      </c>
      <c r="AP16" s="13">
        <v>3.05948706644023</v>
      </c>
      <c r="AQ16" s="13">
        <v>2.776693698306614</v>
      </c>
      <c r="AR16" s="13">
        <v>2.5090992191387835</v>
      </c>
      <c r="AS16" s="13">
        <v>2.0210272264647746</v>
      </c>
      <c r="AT16" s="13">
        <v>1.8009391502395686</v>
      </c>
      <c r="AU16" s="13">
        <v>1.596853236793156</v>
      </c>
      <c r="AV16" s="13">
        <v>1.4086042134927796</v>
      </c>
      <c r="AW16" s="13">
        <v>1.2359030263424449</v>
      </c>
      <c r="AX16" s="13">
        <v>1.0783851991806692</v>
      </c>
      <c r="AY16" s="13">
        <v>0.9355184001114091</v>
      </c>
      <c r="AZ16" s="13">
        <v>0.806707793717741</v>
      </c>
      <c r="BA16" s="13">
        <v>0.691308922790601</v>
      </c>
      <c r="BB16" s="13">
        <v>0.5885705755241877</v>
      </c>
      <c r="BC16" s="13">
        <v>0.49770200523660346</v>
      </c>
      <c r="BD16" s="13">
        <v>0.4178770093022544</v>
      </c>
      <c r="BE16" s="13">
        <v>0.3482245164999205</v>
      </c>
      <c r="BF16" s="13">
        <v>0.2878430482665424</v>
      </c>
      <c r="BG16" s="13">
        <v>0.23590136185066068</v>
      </c>
      <c r="BH16" s="13">
        <v>0.19160939659384627</v>
      </c>
      <c r="BI16" s="13">
        <v>0.1541127900124841</v>
      </c>
      <c r="BJ16" s="13">
        <v>0.12264732645934244</v>
      </c>
      <c r="BK16" s="13">
        <v>0.09654298327547157</v>
      </c>
      <c r="BL16" s="13">
        <v>0.07512454377580835</v>
      </c>
      <c r="BM16" s="13">
        <v>0.05777518269414506</v>
      </c>
      <c r="BN16" s="13">
        <v>0.043861079877893436</v>
      </c>
      <c r="BO16" s="13">
        <v>0.03279767193617665</v>
      </c>
      <c r="BP16" s="13">
        <v>0.024116163903237117</v>
      </c>
      <c r="BQ16" s="13">
        <v>0.017406015525137302</v>
      </c>
      <c r="BR16" s="13">
        <v>0.01228151137706407</v>
      </c>
      <c r="BS16" s="13">
        <v>0.008439026854007622</v>
      </c>
      <c r="BT16" s="13">
        <v>0.005647289036936851</v>
      </c>
      <c r="BU16" s="13">
        <v>0.0036672268495270047</v>
      </c>
      <c r="BV16" s="13">
        <v>0.0022880778851776308</v>
      </c>
      <c r="BW16" s="13">
        <v>0.001370681652540313</v>
      </c>
      <c r="BX16" s="13">
        <v>0.0008043198221371423</v>
      </c>
      <c r="BY16" s="13">
        <v>0.00047446696068718095</v>
      </c>
      <c r="BZ16" s="13">
        <v>0.00029373021078968575</v>
      </c>
      <c r="CA16" s="13">
        <v>0</v>
      </c>
      <c r="CB16" s="13">
        <v>0</v>
      </c>
    </row>
    <row r="17" spans="1:80" ht="12.75">
      <c r="A17" s="23" t="s">
        <v>109</v>
      </c>
      <c r="B17" s="12"/>
      <c r="C17" s="94"/>
      <c r="D17" s="94"/>
      <c r="E17" s="94">
        <v>3.5098800547468927</v>
      </c>
      <c r="F17" s="94">
        <v>3.596445442352078</v>
      </c>
      <c r="G17" s="94">
        <v>4.007666666666666</v>
      </c>
      <c r="H17" s="364">
        <v>3.6866666666666665</v>
      </c>
      <c r="I17" s="205">
        <v>3.5870000000000006</v>
      </c>
      <c r="J17" s="205">
        <v>3.5890000000000004</v>
      </c>
      <c r="K17" s="205">
        <v>3.5790000000000006</v>
      </c>
      <c r="L17" s="205">
        <v>3.5570000000000004</v>
      </c>
      <c r="M17" s="13">
        <v>3.5289999999999995</v>
      </c>
      <c r="N17" s="13">
        <v>3.5430923223057884</v>
      </c>
      <c r="O17" s="13">
        <v>3.543585283194294</v>
      </c>
      <c r="P17" s="13">
        <v>3.5377601207412357</v>
      </c>
      <c r="Q17" s="13">
        <v>3.526445337740765</v>
      </c>
      <c r="R17" s="13">
        <v>3.5009089311156907</v>
      </c>
      <c r="S17" s="13">
        <v>3.469832779638717</v>
      </c>
      <c r="T17" s="13">
        <v>3.42370862133487</v>
      </c>
      <c r="U17" s="13">
        <v>3.372260500648923</v>
      </c>
      <c r="V17" s="13">
        <v>3.307730142397634</v>
      </c>
      <c r="W17" s="13">
        <v>3.238691089590516</v>
      </c>
      <c r="X17" s="13">
        <v>3.1566452500159516</v>
      </c>
      <c r="Y17" s="13">
        <v>3.0712317770062962</v>
      </c>
      <c r="Z17" s="13">
        <v>2.973828560599885</v>
      </c>
      <c r="AA17" s="13">
        <v>2.8741941251109804</v>
      </c>
      <c r="AB17" s="13">
        <v>2.764127552481285</v>
      </c>
      <c r="AC17" s="13">
        <v>2.652387364196616</v>
      </c>
      <c r="AD17" s="13">
        <v>2.5314779780256726</v>
      </c>
      <c r="AE17" s="13">
        <v>2.4099193265850336</v>
      </c>
      <c r="AF17" s="13">
        <v>2.2805204562933366</v>
      </c>
      <c r="AG17" s="13">
        <v>2.15181680988692</v>
      </c>
      <c r="AH17" s="13">
        <v>2.0173828298003067</v>
      </c>
      <c r="AI17" s="13">
        <v>1.8852994779773087</v>
      </c>
      <c r="AJ17" s="13">
        <v>1.7563985085961522</v>
      </c>
      <c r="AK17" s="13">
        <v>1.6247195938703345</v>
      </c>
      <c r="AL17" s="13">
        <v>1.4971925507082553</v>
      </c>
      <c r="AM17" s="13">
        <v>1.3742623009820067</v>
      </c>
      <c r="AN17" s="13">
        <v>1.2563161414324717</v>
      </c>
      <c r="AO17" s="13">
        <v>1.1436757730111433</v>
      </c>
      <c r="AP17" s="13">
        <v>1.031775343771375</v>
      </c>
      <c r="AQ17" s="13">
        <v>0.9256831361034433</v>
      </c>
      <c r="AR17" s="13">
        <v>0.8255393761662384</v>
      </c>
      <c r="AS17" s="13">
        <v>0.6433573192553179</v>
      </c>
      <c r="AT17" s="13">
        <v>0.5645396421598242</v>
      </c>
      <c r="AU17" s="13">
        <v>0.49157574006720023</v>
      </c>
      <c r="AV17" s="13">
        <v>0.424340719580941</v>
      </c>
      <c r="AW17" s="13">
        <v>0.362681884344286</v>
      </c>
      <c r="AX17" s="13">
        <v>0.308518758997448</v>
      </c>
      <c r="AY17" s="13">
        <v>0.25937931940479586</v>
      </c>
      <c r="AZ17" s="13">
        <v>0.21669949482627937</v>
      </c>
      <c r="BA17" s="13">
        <v>0.17841503069986508</v>
      </c>
      <c r="BB17" s="13">
        <v>0.145531887737433</v>
      </c>
      <c r="BC17" s="13">
        <v>0.11748993509085764</v>
      </c>
      <c r="BD17" s="13">
        <v>0.09374465001227306</v>
      </c>
      <c r="BE17" s="13">
        <v>0.07377307975912814</v>
      </c>
      <c r="BF17" s="13">
        <v>0.05710485253820003</v>
      </c>
      <c r="BG17" s="13">
        <v>0.04390931886897474</v>
      </c>
      <c r="BH17" s="13">
        <v>0.03310818680374291</v>
      </c>
      <c r="BI17" s="13">
        <v>0.02434325492379899</v>
      </c>
      <c r="BJ17" s="13">
        <v>0.01764826902325623</v>
      </c>
      <c r="BK17" s="13">
        <v>0.012351286734071066</v>
      </c>
      <c r="BL17" s="13">
        <v>0.008431657195342782</v>
      </c>
      <c r="BM17" s="13">
        <v>0.00558484912485197</v>
      </c>
      <c r="BN17" s="13">
        <v>0.0036965395605221022</v>
      </c>
      <c r="BO17" s="13">
        <v>0.0022974613398451197</v>
      </c>
      <c r="BP17" s="13">
        <v>0.001359514124283961</v>
      </c>
      <c r="BQ17" s="13">
        <v>0.0007528003030616795</v>
      </c>
      <c r="BR17" s="13">
        <v>0.0003799637796368777</v>
      </c>
      <c r="BS17" s="13">
        <v>0.0001685721106206512</v>
      </c>
      <c r="BT17" s="13">
        <v>8.464581479540413E-05</v>
      </c>
      <c r="BU17" s="13">
        <v>2.4795459100679188E-05</v>
      </c>
      <c r="BV17" s="13">
        <v>4.855053671309101E-06</v>
      </c>
      <c r="BW17" s="13">
        <v>-1.4595336231159536E-06</v>
      </c>
      <c r="BX17" s="13">
        <v>-1.5507544745606779E-06</v>
      </c>
      <c r="BY17" s="13">
        <v>-1.6476766292207187E-06</v>
      </c>
      <c r="BZ17" s="13">
        <v>-6.038153320191984E-07</v>
      </c>
      <c r="CA17" s="13">
        <v>0</v>
      </c>
      <c r="CB17" s="13">
        <v>0</v>
      </c>
    </row>
    <row r="18" spans="1:80" ht="12.75">
      <c r="A18" s="23" t="s">
        <v>110</v>
      </c>
      <c r="B18" s="12"/>
      <c r="C18" s="94"/>
      <c r="D18" s="94"/>
      <c r="E18" s="94">
        <v>10.591958596342414</v>
      </c>
      <c r="F18" s="94">
        <v>11.69271605175845</v>
      </c>
      <c r="G18" s="94">
        <v>11.546333333333333</v>
      </c>
      <c r="H18" s="205">
        <v>8.114666666666668</v>
      </c>
      <c r="I18" s="205">
        <v>8.33</v>
      </c>
      <c r="J18" s="205">
        <v>8.291</v>
      </c>
      <c r="K18" s="205">
        <v>8.225</v>
      </c>
      <c r="L18" s="205">
        <v>8.145</v>
      </c>
      <c r="M18" s="13">
        <v>8.065</v>
      </c>
      <c r="N18" s="13">
        <v>7.811036774999479</v>
      </c>
      <c r="O18" s="13">
        <v>7.703621232147044</v>
      </c>
      <c r="P18" s="13">
        <v>7.587052414899501</v>
      </c>
      <c r="Q18" s="13">
        <v>7.44841591587675</v>
      </c>
      <c r="R18" s="13">
        <v>7.29981811632271</v>
      </c>
      <c r="S18" s="13">
        <v>7.13532935218295</v>
      </c>
      <c r="T18" s="13">
        <v>6.963225733777315</v>
      </c>
      <c r="U18" s="13">
        <v>6.772811552355891</v>
      </c>
      <c r="V18" s="13">
        <v>6.574015858144309</v>
      </c>
      <c r="W18" s="13">
        <v>6.363545159368735</v>
      </c>
      <c r="X18" s="13">
        <v>6.1480126217793565</v>
      </c>
      <c r="Y18" s="13">
        <v>5.9200894217683615</v>
      </c>
      <c r="Z18" s="13">
        <v>5.690436975712223</v>
      </c>
      <c r="AA18" s="13">
        <v>5.450564559772916</v>
      </c>
      <c r="AB18" s="13">
        <v>5.211591725872929</v>
      </c>
      <c r="AC18" s="13">
        <v>4.966393085130404</v>
      </c>
      <c r="AD18" s="13">
        <v>4.723136011996407</v>
      </c>
      <c r="AE18" s="13">
        <v>4.475922393361399</v>
      </c>
      <c r="AF18" s="13">
        <v>4.23283291700091</v>
      </c>
      <c r="AG18" s="13">
        <v>3.9875564177342535</v>
      </c>
      <c r="AH18" s="13">
        <v>3.748627090994607</v>
      </c>
      <c r="AI18" s="13">
        <v>3.5108516490059913</v>
      </c>
      <c r="AJ18" s="13">
        <v>3.2755179827331973</v>
      </c>
      <c r="AK18" s="13">
        <v>3.0508526132912244</v>
      </c>
      <c r="AL18" s="13">
        <v>2.8314588783285766</v>
      </c>
      <c r="AM18" s="13">
        <v>2.6181860428936603</v>
      </c>
      <c r="AN18" s="13">
        <v>2.411857816662331</v>
      </c>
      <c r="AO18" s="13">
        <v>2.213214179999391</v>
      </c>
      <c r="AP18" s="13">
        <v>2.027711722668855</v>
      </c>
      <c r="AQ18" s="13">
        <v>1.8510105622031707</v>
      </c>
      <c r="AR18" s="13">
        <v>1.6835598429725451</v>
      </c>
      <c r="AS18" s="13">
        <v>1.3776699072094567</v>
      </c>
      <c r="AT18" s="13">
        <v>1.2363995080797445</v>
      </c>
      <c r="AU18" s="13">
        <v>1.1052774967259558</v>
      </c>
      <c r="AV18" s="13">
        <v>0.9842634939118386</v>
      </c>
      <c r="AW18" s="13">
        <v>0.8732211419981588</v>
      </c>
      <c r="AX18" s="13">
        <v>0.7698664401832211</v>
      </c>
      <c r="AY18" s="13">
        <v>0.6761390807066132</v>
      </c>
      <c r="AZ18" s="13">
        <v>0.5900082988914617</v>
      </c>
      <c r="BA18" s="13">
        <v>0.5128938920907359</v>
      </c>
      <c r="BB18" s="13">
        <v>0.4430386877867547</v>
      </c>
      <c r="BC18" s="13">
        <v>0.3802120701457458</v>
      </c>
      <c r="BD18" s="13">
        <v>0.32413235928998135</v>
      </c>
      <c r="BE18" s="13">
        <v>0.2744514367407923</v>
      </c>
      <c r="BF18" s="13">
        <v>0.23073819572834237</v>
      </c>
      <c r="BG18" s="13">
        <v>0.19199204298168593</v>
      </c>
      <c r="BH18" s="13">
        <v>0.15850120979010335</v>
      </c>
      <c r="BI18" s="13">
        <v>0.1297695350886851</v>
      </c>
      <c r="BJ18" s="13">
        <v>0.1049990574360862</v>
      </c>
      <c r="BK18" s="13">
        <v>0.0841916965414005</v>
      </c>
      <c r="BL18" s="13">
        <v>0.06669288658046557</v>
      </c>
      <c r="BM18" s="13">
        <v>0.05219033356929309</v>
      </c>
      <c r="BN18" s="13">
        <v>0.040164540317371336</v>
      </c>
      <c r="BO18" s="13">
        <v>0.030500210596331533</v>
      </c>
      <c r="BP18" s="13">
        <v>0.022756649778953156</v>
      </c>
      <c r="BQ18" s="13">
        <v>0.016653215222075624</v>
      </c>
      <c r="BR18" s="13">
        <v>0.011901547597427191</v>
      </c>
      <c r="BS18" s="13">
        <v>0.00827045474338697</v>
      </c>
      <c r="BT18" s="13">
        <v>0.005562643222141447</v>
      </c>
      <c r="BU18" s="13">
        <v>0.0036424313904263256</v>
      </c>
      <c r="BV18" s="13">
        <v>0.002283222831506322</v>
      </c>
      <c r="BW18" s="13">
        <v>0.001372141186163429</v>
      </c>
      <c r="BX18" s="13">
        <v>0.0008058705766117029</v>
      </c>
      <c r="BY18" s="13">
        <v>0.00047611463731640167</v>
      </c>
      <c r="BZ18" s="13">
        <v>0.00029433402612170494</v>
      </c>
      <c r="CA18" s="13">
        <v>0</v>
      </c>
      <c r="CB18" s="13">
        <v>0</v>
      </c>
    </row>
    <row r="19" spans="3:12" ht="12.75">
      <c r="C19" s="58"/>
      <c r="D19" s="58"/>
      <c r="E19" s="58"/>
      <c r="F19" s="58"/>
      <c r="L19" s="58"/>
    </row>
    <row r="20" spans="1:75" ht="18.75">
      <c r="A20" s="24" t="s">
        <v>164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</row>
    <row r="21" spans="1:75" ht="12.75">
      <c r="A21" s="29" t="s">
        <v>498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</row>
    <row r="22" spans="1:75" ht="12.75">
      <c r="A22" s="25"/>
      <c r="B22" s="26" t="s">
        <v>448</v>
      </c>
      <c r="C22" s="26" t="s">
        <v>449</v>
      </c>
      <c r="D22" s="26" t="s">
        <v>450</v>
      </c>
      <c r="E22" s="26" t="s">
        <v>246</v>
      </c>
      <c r="F22" s="26" t="s">
        <v>247</v>
      </c>
      <c r="G22" s="26" t="s">
        <v>248</v>
      </c>
      <c r="H22" s="26" t="s">
        <v>249</v>
      </c>
      <c r="I22" s="26" t="s">
        <v>250</v>
      </c>
      <c r="J22" s="26" t="s">
        <v>251</v>
      </c>
      <c r="K22" s="26" t="s">
        <v>252</v>
      </c>
      <c r="L22" s="26" t="s">
        <v>253</v>
      </c>
      <c r="M22" s="356" t="s">
        <v>254</v>
      </c>
      <c r="N22" s="356" t="s">
        <v>255</v>
      </c>
      <c r="O22" s="356" t="s">
        <v>256</v>
      </c>
      <c r="P22" s="356" t="s">
        <v>257</v>
      </c>
      <c r="Q22" s="95" t="s">
        <v>258</v>
      </c>
      <c r="R22" s="95" t="s">
        <v>259</v>
      </c>
      <c r="S22" s="95" t="s">
        <v>260</v>
      </c>
      <c r="T22" s="95" t="s">
        <v>261</v>
      </c>
      <c r="U22" s="95" t="s">
        <v>262</v>
      </c>
      <c r="V22" s="26" t="s">
        <v>263</v>
      </c>
      <c r="W22" s="26" t="s">
        <v>264</v>
      </c>
      <c r="X22" s="26" t="s">
        <v>265</v>
      </c>
      <c r="Y22" s="26" t="s">
        <v>266</v>
      </c>
      <c r="Z22" s="26" t="s">
        <v>267</v>
      </c>
      <c r="AA22" s="26" t="s">
        <v>268</v>
      </c>
      <c r="AB22" s="26" t="s">
        <v>269</v>
      </c>
      <c r="AC22" s="26" t="s">
        <v>270</v>
      </c>
      <c r="AD22" s="26" t="s">
        <v>271</v>
      </c>
      <c r="AE22" s="26" t="s">
        <v>272</v>
      </c>
      <c r="AF22" s="26" t="s">
        <v>273</v>
      </c>
      <c r="AG22" s="26" t="s">
        <v>277</v>
      </c>
      <c r="AH22" s="26" t="s">
        <v>278</v>
      </c>
      <c r="AI22" s="26" t="s">
        <v>279</v>
      </c>
      <c r="AJ22" s="26" t="s">
        <v>280</v>
      </c>
      <c r="AK22" s="26" t="s">
        <v>281</v>
      </c>
      <c r="AL22" s="26" t="s">
        <v>282</v>
      </c>
      <c r="AM22" s="26" t="s">
        <v>283</v>
      </c>
      <c r="AN22" s="26" t="s">
        <v>284</v>
      </c>
      <c r="AO22" s="26" t="s">
        <v>285</v>
      </c>
      <c r="AP22" s="26" t="s">
        <v>286</v>
      </c>
      <c r="AQ22" s="26" t="s">
        <v>287</v>
      </c>
      <c r="AR22" s="26" t="s">
        <v>288</v>
      </c>
      <c r="AS22" s="26" t="s">
        <v>289</v>
      </c>
      <c r="AT22" s="26" t="s">
        <v>290</v>
      </c>
      <c r="AU22" s="26" t="s">
        <v>291</v>
      </c>
      <c r="AV22" s="26" t="s">
        <v>292</v>
      </c>
      <c r="AW22" s="26" t="s">
        <v>293</v>
      </c>
      <c r="AX22" s="26" t="s">
        <v>294</v>
      </c>
      <c r="AY22" s="26" t="s">
        <v>295</v>
      </c>
      <c r="AZ22" s="26" t="s">
        <v>296</v>
      </c>
      <c r="BA22" s="26" t="s">
        <v>297</v>
      </c>
      <c r="BB22" s="26" t="s">
        <v>298</v>
      </c>
      <c r="BC22" s="26" t="s">
        <v>299</v>
      </c>
      <c r="BD22" s="26" t="s">
        <v>300</v>
      </c>
      <c r="BE22" s="26" t="s">
        <v>301</v>
      </c>
      <c r="BF22" s="26" t="s">
        <v>302</v>
      </c>
      <c r="BG22" s="26" t="s">
        <v>303</v>
      </c>
      <c r="BH22" s="26" t="s">
        <v>405</v>
      </c>
      <c r="BI22" s="26" t="s">
        <v>406</v>
      </c>
      <c r="BJ22" s="26" t="s">
        <v>407</v>
      </c>
      <c r="BK22" s="26" t="s">
        <v>408</v>
      </c>
      <c r="BL22" s="26" t="s">
        <v>410</v>
      </c>
      <c r="BM22" s="26" t="s">
        <v>411</v>
      </c>
      <c r="BN22" s="26" t="s">
        <v>412</v>
      </c>
      <c r="BO22" s="26" t="s">
        <v>413</v>
      </c>
      <c r="BP22" s="26" t="s">
        <v>414</v>
      </c>
      <c r="BQ22" s="26" t="s">
        <v>415</v>
      </c>
      <c r="BR22" s="26" t="s">
        <v>416</v>
      </c>
      <c r="BS22" s="26" t="s">
        <v>417</v>
      </c>
      <c r="BT22" s="26" t="s">
        <v>418</v>
      </c>
      <c r="BU22" s="26" t="s">
        <v>666</v>
      </c>
      <c r="BV22" s="26" t="s">
        <v>420</v>
      </c>
      <c r="BW22" s="26" t="s">
        <v>421</v>
      </c>
    </row>
    <row r="23" spans="1:75" ht="12.75">
      <c r="A23" s="30" t="s">
        <v>499</v>
      </c>
      <c r="B23" s="31">
        <v>234.930854</v>
      </c>
      <c r="C23" s="31">
        <v>329.7121084</v>
      </c>
      <c r="D23" s="31">
        <v>392.97075079999996</v>
      </c>
      <c r="E23" s="31">
        <v>440.6046472</v>
      </c>
      <c r="F23" s="31">
        <v>553.3752092</v>
      </c>
      <c r="G23" s="31">
        <v>650.7866232</v>
      </c>
      <c r="H23" s="31">
        <v>613.314386</v>
      </c>
      <c r="I23" s="31">
        <v>727.6286264</v>
      </c>
      <c r="J23" s="31">
        <v>878.2989852</v>
      </c>
      <c r="K23" s="31">
        <v>976.7242871999999</v>
      </c>
      <c r="L23" s="31">
        <v>957.1783600000001</v>
      </c>
      <c r="M23" s="357">
        <v>1036.8515212000002</v>
      </c>
      <c r="N23" s="358">
        <v>994.4382788</v>
      </c>
      <c r="O23" s="367">
        <v>1115.9777736</v>
      </c>
      <c r="P23" s="367">
        <v>1205.9</v>
      </c>
      <c r="Q23" s="366">
        <v>1250</v>
      </c>
      <c r="R23" s="366">
        <v>1305.5767752262038</v>
      </c>
      <c r="S23" s="366">
        <v>1398.2668118308832</v>
      </c>
      <c r="T23" s="366">
        <v>1482.5845561553572</v>
      </c>
      <c r="U23" s="366">
        <v>1567.9618419185838</v>
      </c>
      <c r="V23" s="361">
        <v>1651.8768847663077</v>
      </c>
      <c r="W23" s="361">
        <v>1730.918762797332</v>
      </c>
      <c r="X23" s="361">
        <v>1807.8062152118189</v>
      </c>
      <c r="Y23" s="361">
        <v>1882.5283196577266</v>
      </c>
      <c r="Z23" s="361">
        <v>1955.108362876663</v>
      </c>
      <c r="AA23" s="361">
        <v>2025.597482808251</v>
      </c>
      <c r="AB23" s="361">
        <v>2094.0689349269305</v>
      </c>
      <c r="AC23" s="361">
        <v>2160.613022146625</v>
      </c>
      <c r="AD23" s="361">
        <v>2225.3326896278345</v>
      </c>
      <c r="AE23" s="361">
        <v>2288.339759155656</v>
      </c>
      <c r="AF23" s="361">
        <v>2349.8468852124333</v>
      </c>
      <c r="AG23" s="361">
        <v>2412.0452761489164</v>
      </c>
      <c r="AH23" s="361">
        <v>2479.7415980231253</v>
      </c>
      <c r="AI23" s="361">
        <v>2551.231342494991</v>
      </c>
      <c r="AJ23" s="361">
        <v>2627.027647277153</v>
      </c>
      <c r="AK23" s="361">
        <v>2705.403270079786</v>
      </c>
      <c r="AL23" s="361">
        <v>2782.1311111926643</v>
      </c>
      <c r="AM23" s="361">
        <v>2856.9757916756157</v>
      </c>
      <c r="AN23" s="361">
        <v>2931.123505849653</v>
      </c>
      <c r="AO23" s="361">
        <v>3000.7672765112266</v>
      </c>
      <c r="AP23" s="361">
        <v>3067.6425064066784</v>
      </c>
      <c r="AQ23" s="361">
        <v>3135.19250412511</v>
      </c>
      <c r="AR23" s="361">
        <v>3204.5799033397775</v>
      </c>
      <c r="AS23" s="361">
        <v>3276.2992717128695</v>
      </c>
      <c r="AT23" s="361">
        <v>3350.2792457056353</v>
      </c>
      <c r="AU23" s="361">
        <v>3426.350179242663</v>
      </c>
      <c r="AV23" s="361">
        <v>3504.3996141161247</v>
      </c>
      <c r="AW23" s="361">
        <v>3584.3246585975276</v>
      </c>
      <c r="AX23" s="361">
        <v>3665.9837672880917</v>
      </c>
      <c r="AY23" s="361">
        <v>3749.305900749494</v>
      </c>
      <c r="AZ23" s="361">
        <v>3834.2526763263086</v>
      </c>
      <c r="BA23" s="361">
        <v>3920.739526594222</v>
      </c>
      <c r="BB23" s="361">
        <v>4008.72714383478</v>
      </c>
      <c r="BC23" s="361">
        <v>4098.195934715147</v>
      </c>
      <c r="BD23" s="361">
        <v>4188.961754035826</v>
      </c>
      <c r="BE23" s="361">
        <v>4280.919053730055</v>
      </c>
      <c r="BF23" s="361">
        <v>4374.069918366229</v>
      </c>
      <c r="BG23" s="361">
        <v>4468.46182918669</v>
      </c>
      <c r="BH23" s="79">
        <v>4564.890706263892</v>
      </c>
      <c r="BI23" s="79">
        <v>4663.400507088419</v>
      </c>
      <c r="BJ23" s="79">
        <v>4764.036137748296</v>
      </c>
      <c r="BK23" s="79">
        <v>4866.843473399609</v>
      </c>
      <c r="BL23" s="79">
        <v>4971.869379178881</v>
      </c>
      <c r="BM23" s="79">
        <v>5079.161731566729</v>
      </c>
      <c r="BN23" s="79">
        <v>5188.769440212553</v>
      </c>
      <c r="BO23" s="79">
        <v>5300.742470230192</v>
      </c>
      <c r="BP23" s="79">
        <v>5415.131864974729</v>
      </c>
      <c r="BQ23" s="79">
        <v>5531.989769310801</v>
      </c>
      <c r="BR23" s="79">
        <v>5651.36945338305</v>
      </c>
      <c r="BS23" s="79">
        <v>5773.32533689953</v>
      </c>
      <c r="BT23" s="79">
        <v>5897.91301393915</v>
      </c>
      <c r="BU23" s="79">
        <v>6025.189278294458</v>
      </c>
      <c r="BV23" s="79">
        <v>6155.2121493613195</v>
      </c>
      <c r="BW23" s="79">
        <v>6288.040898587291</v>
      </c>
    </row>
    <row r="24" spans="1:75" ht="12.75">
      <c r="A24" s="30" t="s">
        <v>500</v>
      </c>
      <c r="B24" s="31">
        <v>14.2881</v>
      </c>
      <c r="C24" s="31">
        <v>31.902449999999998</v>
      </c>
      <c r="D24" s="31">
        <v>61.9277</v>
      </c>
      <c r="E24" s="31">
        <v>100.05584999999999</v>
      </c>
      <c r="F24" s="31">
        <v>136.95045</v>
      </c>
      <c r="G24" s="31">
        <v>176.96364999999997</v>
      </c>
      <c r="H24" s="31">
        <v>210.182</v>
      </c>
      <c r="I24" s="31">
        <v>238.83285</v>
      </c>
      <c r="J24" s="31">
        <v>276.93915000000004</v>
      </c>
      <c r="K24" s="31">
        <v>322.879</v>
      </c>
      <c r="L24" s="31">
        <v>368.2568</v>
      </c>
      <c r="M24" s="357">
        <v>413.49604999999997</v>
      </c>
      <c r="N24" s="358">
        <v>455.06925</v>
      </c>
      <c r="O24" s="367">
        <v>269.595631</v>
      </c>
      <c r="P24" s="367">
        <f>P26</f>
        <v>94.7</v>
      </c>
      <c r="Q24" s="96">
        <v>93.8814356596517</v>
      </c>
      <c r="R24" s="96">
        <v>105.3905572378586</v>
      </c>
      <c r="S24" s="96">
        <v>105.41996575177002</v>
      </c>
      <c r="T24" s="96">
        <v>124.25847848665147</v>
      </c>
      <c r="U24" s="96">
        <v>144.74030833432644</v>
      </c>
      <c r="V24" s="96">
        <v>160.44404429790495</v>
      </c>
      <c r="W24" s="96">
        <v>173.69005149227587</v>
      </c>
      <c r="X24" s="96">
        <v>185.69389333635206</v>
      </c>
      <c r="Y24" s="96">
        <v>197.145637320697</v>
      </c>
      <c r="Z24" s="96">
        <v>208.3465254382127</v>
      </c>
      <c r="AA24" s="96">
        <v>219.46374630212756</v>
      </c>
      <c r="AB24" s="96">
        <v>230.5659889116817</v>
      </c>
      <c r="AC24" s="96">
        <v>241.71549662572778</v>
      </c>
      <c r="AD24" s="96">
        <v>252.93079101994624</v>
      </c>
      <c r="AE24" s="96">
        <v>264.2047494891982</v>
      </c>
      <c r="AF24" s="96">
        <v>275.512735325009</v>
      </c>
      <c r="AG24" s="96">
        <v>286.84136338291756</v>
      </c>
      <c r="AH24" s="96">
        <v>298.21730250560347</v>
      </c>
      <c r="AI24" s="96">
        <v>309.68138263923817</v>
      </c>
      <c r="AJ24" s="96">
        <v>321.2622373317048</v>
      </c>
      <c r="AK24" s="96">
        <v>332.9770364290169</v>
      </c>
      <c r="AL24" s="96">
        <v>344.80356732387787</v>
      </c>
      <c r="AM24" s="96">
        <v>356.69194246961416</v>
      </c>
      <c r="AN24" s="96">
        <v>368.5973320119596</v>
      </c>
      <c r="AO24" s="96">
        <v>380.4568094559571</v>
      </c>
      <c r="AP24" s="96">
        <v>392.21733985125326</v>
      </c>
      <c r="AQ24" s="96">
        <v>403.8607287417479</v>
      </c>
      <c r="AR24" s="96">
        <v>415.3979527087366</v>
      </c>
      <c r="AS24" s="96">
        <v>426.84944700276134</v>
      </c>
      <c r="AT24" s="96">
        <v>438.2370072426412</v>
      </c>
      <c r="AU24" s="96">
        <v>449.5796561115682</v>
      </c>
      <c r="AV24" s="96">
        <v>460.8935486735336</v>
      </c>
      <c r="AW24" s="96">
        <v>472.19253974398094</v>
      </c>
      <c r="AX24" s="96">
        <v>483.48813844435466</v>
      </c>
      <c r="AY24" s="96">
        <v>494.7898380228679</v>
      </c>
      <c r="AZ24" s="96">
        <v>506.1058578231033</v>
      </c>
      <c r="BA24" s="96">
        <v>517.4431325436587</v>
      </c>
      <c r="BB24" s="96">
        <v>528.8073808726999</v>
      </c>
      <c r="BC24" s="96">
        <v>540.203569852495</v>
      </c>
      <c r="BD24" s="96">
        <v>551.6350816385293</v>
      </c>
      <c r="BE24" s="96">
        <v>563.1032973953735</v>
      </c>
      <c r="BF24" s="96">
        <v>574.6088585400348</v>
      </c>
      <c r="BG24" s="79">
        <v>586.1526401907225</v>
      </c>
      <c r="BH24" s="79">
        <v>597.9283341985175</v>
      </c>
      <c r="BI24" s="79">
        <v>609.9405996381499</v>
      </c>
      <c r="BJ24" s="79">
        <v>622.1941891842667</v>
      </c>
      <c r="BK24" s="79">
        <v>634.6939509918362</v>
      </c>
      <c r="BL24" s="79">
        <v>647.4448306143291</v>
      </c>
      <c r="BM24" s="79">
        <v>660.4518729604358</v>
      </c>
      <c r="BN24" s="79">
        <v>673.7202242900939</v>
      </c>
      <c r="BO24" s="79">
        <v>687.255134250615</v>
      </c>
      <c r="BP24" s="79">
        <v>701.0619579537174</v>
      </c>
      <c r="BQ24" s="79">
        <v>715.1461580942856</v>
      </c>
      <c r="BR24" s="79">
        <v>729.5133071116958</v>
      </c>
      <c r="BS24" s="79">
        <v>744.1690893945611</v>
      </c>
      <c r="BT24" s="79">
        <v>759.1193035297707</v>
      </c>
      <c r="BU24" s="79">
        <v>774.3698645967112</v>
      </c>
      <c r="BV24" s="79">
        <v>789.9268065075784</v>
      </c>
      <c r="BW24" s="79">
        <v>805.7962843947056</v>
      </c>
    </row>
    <row r="25" spans="1:75" ht="12.75">
      <c r="A25" s="30" t="s">
        <v>656</v>
      </c>
      <c r="B25" s="31">
        <v>1.0785</v>
      </c>
      <c r="C25" s="31">
        <v>4.207899999999997</v>
      </c>
      <c r="D25" s="31">
        <v>11.2481</v>
      </c>
      <c r="E25" s="31">
        <v>20.4227</v>
      </c>
      <c r="F25" s="31">
        <v>28.89625</v>
      </c>
      <c r="G25" s="31">
        <v>39.435299999999984</v>
      </c>
      <c r="H25" s="31">
        <v>49.53539999999998</v>
      </c>
      <c r="I25" s="31">
        <v>113.51445</v>
      </c>
      <c r="J25" s="31">
        <v>165.46470000000002</v>
      </c>
      <c r="K25" s="31">
        <v>176.81915000000004</v>
      </c>
      <c r="L25" s="31">
        <v>199.1907</v>
      </c>
      <c r="M25" s="357">
        <v>228.58085</v>
      </c>
      <c r="N25" s="357">
        <v>241.1331</v>
      </c>
      <c r="O25" s="368">
        <v>116.96435000000001</v>
      </c>
      <c r="P25" s="368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</row>
    <row r="26" spans="1:75" ht="12.75">
      <c r="A26" s="30" t="s">
        <v>655</v>
      </c>
      <c r="B26" s="31">
        <v>13.2096</v>
      </c>
      <c r="C26" s="31">
        <v>27.69455</v>
      </c>
      <c r="D26" s="31">
        <v>50.6796</v>
      </c>
      <c r="E26" s="31">
        <v>79.63315</v>
      </c>
      <c r="F26" s="31">
        <v>108.05420000000001</v>
      </c>
      <c r="G26" s="31">
        <v>137.52835</v>
      </c>
      <c r="H26" s="31">
        <v>160.6466</v>
      </c>
      <c r="I26" s="31">
        <v>125.3184</v>
      </c>
      <c r="J26" s="31">
        <v>111.47444999999999</v>
      </c>
      <c r="K26" s="31">
        <v>146.05984999999998</v>
      </c>
      <c r="L26" s="31">
        <f>L24-L25</f>
        <v>169.0661</v>
      </c>
      <c r="M26" s="357">
        <f>M24-M25</f>
        <v>184.91519999999997</v>
      </c>
      <c r="N26" s="358">
        <f>N24-N25</f>
        <v>213.93615</v>
      </c>
      <c r="O26" s="367">
        <v>152.631281</v>
      </c>
      <c r="P26" s="367">
        <v>94.7</v>
      </c>
      <c r="Q26" s="96">
        <v>93.8814356596517</v>
      </c>
      <c r="R26" s="96">
        <v>105.3905572378586</v>
      </c>
      <c r="S26" s="96">
        <v>105.41996575177002</v>
      </c>
      <c r="T26" s="96">
        <v>124.25847848665147</v>
      </c>
      <c r="U26" s="96">
        <v>144.74030833432644</v>
      </c>
      <c r="V26" s="79">
        <v>160.44404429790495</v>
      </c>
      <c r="W26" s="79">
        <v>173.69005149227587</v>
      </c>
      <c r="X26" s="79">
        <v>185.69389333635206</v>
      </c>
      <c r="Y26" s="79">
        <v>197.145637320697</v>
      </c>
      <c r="Z26" s="79">
        <v>208.3465254382127</v>
      </c>
      <c r="AA26" s="79">
        <v>219.46374630212756</v>
      </c>
      <c r="AB26" s="79">
        <v>230.5659889116817</v>
      </c>
      <c r="AC26" s="79">
        <v>241.71549662572778</v>
      </c>
      <c r="AD26" s="79">
        <v>252.93079101994624</v>
      </c>
      <c r="AE26" s="79">
        <v>264.2047494891982</v>
      </c>
      <c r="AF26" s="79">
        <v>275.512735325009</v>
      </c>
      <c r="AG26" s="79">
        <v>286.84136338291756</v>
      </c>
      <c r="AH26" s="79">
        <v>298.21730250560347</v>
      </c>
      <c r="AI26" s="79">
        <v>309.68138263923817</v>
      </c>
      <c r="AJ26" s="79">
        <v>321.2622373317048</v>
      </c>
      <c r="AK26" s="79">
        <v>332.9770364290169</v>
      </c>
      <c r="AL26" s="79">
        <v>344.80356732387787</v>
      </c>
      <c r="AM26" s="79">
        <v>356.69194246961416</v>
      </c>
      <c r="AN26" s="79">
        <v>368.5973320119596</v>
      </c>
      <c r="AO26" s="79">
        <v>380.4568094559571</v>
      </c>
      <c r="AP26" s="79">
        <v>392.21733985125326</v>
      </c>
      <c r="AQ26" s="79">
        <v>403.8607287417479</v>
      </c>
      <c r="AR26" s="79">
        <v>415.3979527087366</v>
      </c>
      <c r="AS26" s="79">
        <v>426.84944700276134</v>
      </c>
      <c r="AT26" s="79">
        <v>438.2370072426412</v>
      </c>
      <c r="AU26" s="79">
        <v>449.5796561115682</v>
      </c>
      <c r="AV26" s="79">
        <v>460.8935486735336</v>
      </c>
      <c r="AW26" s="79">
        <v>472.19253974398094</v>
      </c>
      <c r="AX26" s="79">
        <v>483.48813844435466</v>
      </c>
      <c r="AY26" s="79">
        <v>494.7898380228679</v>
      </c>
      <c r="AZ26" s="79">
        <v>506.1058578231033</v>
      </c>
      <c r="BA26" s="79">
        <v>517.4431325436587</v>
      </c>
      <c r="BB26" s="79">
        <v>528.8073808726999</v>
      </c>
      <c r="BC26" s="79">
        <v>540.203569852495</v>
      </c>
      <c r="BD26" s="79">
        <v>551.6350816385293</v>
      </c>
      <c r="BE26" s="79">
        <v>563.1032973953735</v>
      </c>
      <c r="BF26" s="79">
        <v>574.6088585400348</v>
      </c>
      <c r="BG26" s="79">
        <v>586.1526401907225</v>
      </c>
      <c r="BH26" s="79">
        <v>597.9283341985175</v>
      </c>
      <c r="BI26" s="79">
        <v>609.9405996381499</v>
      </c>
      <c r="BJ26" s="79">
        <v>622.1941891842667</v>
      </c>
      <c r="BK26" s="79">
        <v>634.6939509918362</v>
      </c>
      <c r="BL26" s="79">
        <v>647.4448306143291</v>
      </c>
      <c r="BM26" s="79">
        <v>660.4518729604358</v>
      </c>
      <c r="BN26" s="79">
        <v>673.7202242900939</v>
      </c>
      <c r="BO26" s="79">
        <v>687.255134250615</v>
      </c>
      <c r="BP26" s="79">
        <v>701.0619579537174</v>
      </c>
      <c r="BQ26" s="79">
        <v>715.1461580942856</v>
      </c>
      <c r="BR26" s="79">
        <v>729.5133071116958</v>
      </c>
      <c r="BS26" s="79">
        <v>744.1690893945611</v>
      </c>
      <c r="BT26" s="79">
        <v>759.1193035297707</v>
      </c>
      <c r="BU26" s="79">
        <v>774.3698645967112</v>
      </c>
      <c r="BV26" s="79">
        <v>789.9268065075784</v>
      </c>
      <c r="BW26" s="79">
        <v>805.7962843947056</v>
      </c>
    </row>
    <row r="27" spans="1:75" ht="12.75">
      <c r="A27" s="30" t="s">
        <v>501</v>
      </c>
      <c r="B27" s="31">
        <v>9.942350000000001</v>
      </c>
      <c r="C27" s="31">
        <v>25.7953</v>
      </c>
      <c r="D27" s="31">
        <v>48.683350000000004</v>
      </c>
      <c r="E27" s="31">
        <v>80.3827</v>
      </c>
      <c r="F27" s="31">
        <v>114.63715</v>
      </c>
      <c r="G27" s="31">
        <v>151.113</v>
      </c>
      <c r="H27" s="31">
        <v>197.85424999999998</v>
      </c>
      <c r="I27" s="31">
        <v>255.59525</v>
      </c>
      <c r="J27" s="31">
        <v>317.153</v>
      </c>
      <c r="K27" s="31">
        <v>383.65369999999996</v>
      </c>
      <c r="L27" s="31">
        <v>464.281</v>
      </c>
      <c r="M27" s="357">
        <v>532.72115</v>
      </c>
      <c r="N27" s="358">
        <v>620.6212</v>
      </c>
      <c r="O27" s="367">
        <v>649.325484</v>
      </c>
      <c r="P27" s="367">
        <v>553.4</v>
      </c>
      <c r="Q27" s="362">
        <v>610.714651</v>
      </c>
      <c r="R27" s="362">
        <v>681.3760480422269</v>
      </c>
      <c r="S27" s="362">
        <v>749.0170793443637</v>
      </c>
      <c r="T27" s="362">
        <v>820.0245733954431</v>
      </c>
      <c r="U27" s="362">
        <v>891.9235707478047</v>
      </c>
      <c r="V27" s="363">
        <v>961.5630966769863</v>
      </c>
      <c r="W27" s="363">
        <v>1030.6156842940752</v>
      </c>
      <c r="X27" s="363">
        <v>1095.9576706170774</v>
      </c>
      <c r="Y27" s="363">
        <v>1160.8259137626833</v>
      </c>
      <c r="Z27" s="363">
        <v>1227.9008196888115</v>
      </c>
      <c r="AA27" s="363">
        <v>1292.7935268741292</v>
      </c>
      <c r="AB27" s="363">
        <v>1353.9799088228533</v>
      </c>
      <c r="AC27" s="363">
        <v>1415.4843169959129</v>
      </c>
      <c r="AD27" s="363">
        <v>1476.5615554317412</v>
      </c>
      <c r="AE27" s="363">
        <v>1538.1494118032133</v>
      </c>
      <c r="AF27" s="363">
        <v>1600.0650769227448</v>
      </c>
      <c r="AG27" s="363">
        <v>1662.2126478600376</v>
      </c>
      <c r="AH27" s="363">
        <v>1724.738303104279</v>
      </c>
      <c r="AI27" s="363">
        <v>1787.8732860822442</v>
      </c>
      <c r="AJ27" s="363">
        <v>1851.7789403595032</v>
      </c>
      <c r="AK27" s="363">
        <v>1916.5504893358407</v>
      </c>
      <c r="AL27" s="363">
        <v>1982.0565662299875</v>
      </c>
      <c r="AM27" s="363">
        <v>2048.007577407533</v>
      </c>
      <c r="AN27" s="363">
        <v>2114.1440007945366</v>
      </c>
      <c r="AO27" s="363">
        <v>2180.1032476696687</v>
      </c>
      <c r="AP27" s="363">
        <v>2245.580153642527</v>
      </c>
      <c r="AQ27" s="363">
        <v>2310.4692729962126</v>
      </c>
      <c r="AR27" s="363">
        <v>2374.831659086013</v>
      </c>
      <c r="AS27" s="363">
        <v>2438.781772627113</v>
      </c>
      <c r="AT27" s="363">
        <v>2502.4412405608323</v>
      </c>
      <c r="AU27" s="363">
        <v>2565.915404930518</v>
      </c>
      <c r="AV27" s="363">
        <v>2629.2929533067586</v>
      </c>
      <c r="AW27" s="363">
        <v>2692.6492903103454</v>
      </c>
      <c r="AX27" s="363">
        <v>2756.046379136559</v>
      </c>
      <c r="AY27" s="363">
        <v>2819.5346996295652</v>
      </c>
      <c r="AZ27" s="363">
        <v>2883.157532474651</v>
      </c>
      <c r="BA27" s="363">
        <v>2946.950935626605</v>
      </c>
      <c r="BB27" s="363">
        <v>3010.944163061474</v>
      </c>
      <c r="BC27" s="363">
        <v>3075.162327850944</v>
      </c>
      <c r="BD27" s="363">
        <v>3139.6216705926267</v>
      </c>
      <c r="BE27" s="363">
        <v>3204.3272023573604</v>
      </c>
      <c r="BF27" s="363">
        <v>3269.2798886689716</v>
      </c>
      <c r="BG27" s="363">
        <v>3334.482185949091</v>
      </c>
      <c r="BH27" s="79">
        <v>3400.984873442156</v>
      </c>
      <c r="BI27" s="79">
        <v>3468.8138860427407</v>
      </c>
      <c r="BJ27" s="79">
        <v>3537.995675889204</v>
      </c>
      <c r="BK27" s="79">
        <v>3608.557222679566</v>
      </c>
      <c r="BL27" s="79">
        <v>3680.5260441931223</v>
      </c>
      <c r="BM27" s="79">
        <v>3753.930207021899</v>
      </c>
      <c r="BN27" s="79">
        <v>3828.798337516139</v>
      </c>
      <c r="BO27" s="79">
        <v>3905.15963294808</v>
      </c>
      <c r="BP27" s="79">
        <v>3983.0438728983854</v>
      </c>
      <c r="BQ27" s="79">
        <v>4062.4814308696646</v>
      </c>
      <c r="BR27" s="79">
        <v>4143.50328613161</v>
      </c>
      <c r="BS27" s="79">
        <v>4226.1410358023795</v>
      </c>
      <c r="BT27" s="79">
        <v>4310.426907170917</v>
      </c>
      <c r="BU27" s="79">
        <v>4396.393770265043</v>
      </c>
      <c r="BV27" s="79">
        <v>4484.075150670192</v>
      </c>
      <c r="BW27" s="79">
        <v>4573.50524260381</v>
      </c>
    </row>
    <row r="28" spans="1:75" ht="12.75">
      <c r="A28" s="30" t="s">
        <v>502</v>
      </c>
      <c r="B28" s="31">
        <v>0.1318</v>
      </c>
      <c r="C28" s="31">
        <v>0.25755</v>
      </c>
      <c r="D28" s="31">
        <v>0.5789</v>
      </c>
      <c r="E28" s="31">
        <v>1.4560999999999997</v>
      </c>
      <c r="F28" s="31">
        <v>1.4548</v>
      </c>
      <c r="G28" s="31">
        <v>0.6648499999999999</v>
      </c>
      <c r="H28" s="31">
        <v>2.4987999999999997</v>
      </c>
      <c r="I28" s="31">
        <v>4.32535</v>
      </c>
      <c r="J28" s="31">
        <v>2.70875</v>
      </c>
      <c r="K28" s="31">
        <v>6.5158</v>
      </c>
      <c r="L28" s="31">
        <v>7.2706</v>
      </c>
      <c r="M28" s="357">
        <v>5.247600000000002</v>
      </c>
      <c r="N28" s="358">
        <v>7.194749999999999</v>
      </c>
      <c r="O28" s="367">
        <v>10.475100000000005</v>
      </c>
      <c r="P28" s="367">
        <v>20.1</v>
      </c>
      <c r="Q28" s="362">
        <v>30.177292132711504</v>
      </c>
      <c r="R28" s="362">
        <v>33.71755340671336</v>
      </c>
      <c r="S28" s="362">
        <v>36.92518711751943</v>
      </c>
      <c r="T28" s="362">
        <v>41.90335989159471</v>
      </c>
      <c r="U28" s="362">
        <v>46.75598105903958</v>
      </c>
      <c r="V28" s="363">
        <v>51.402804314566865</v>
      </c>
      <c r="W28" s="363">
        <v>55.62156121498944</v>
      </c>
      <c r="X28" s="363">
        <v>59.41940190891618</v>
      </c>
      <c r="Y28" s="363">
        <v>66.21388193173524</v>
      </c>
      <c r="Z28" s="363">
        <v>70.64695100208837</v>
      </c>
      <c r="AA28" s="363">
        <v>77.97887817295849</v>
      </c>
      <c r="AB28" s="363">
        <v>86.4084245569536</v>
      </c>
      <c r="AC28" s="363">
        <v>93.56015394640771</v>
      </c>
      <c r="AD28" s="363">
        <v>101.29547013992719</v>
      </c>
      <c r="AE28" s="363">
        <v>109.68156645274885</v>
      </c>
      <c r="AF28" s="363">
        <v>118.82976468104563</v>
      </c>
      <c r="AG28" s="363">
        <v>128.83799982198713</v>
      </c>
      <c r="AH28" s="363">
        <v>139.87743990508426</v>
      </c>
      <c r="AI28" s="363">
        <v>152.1256211586806</v>
      </c>
      <c r="AJ28" s="363">
        <v>165.7677075660531</v>
      </c>
      <c r="AK28" s="363">
        <v>180.9965791307137</v>
      </c>
      <c r="AL28" s="363">
        <v>197.9749561669974</v>
      </c>
      <c r="AM28" s="363">
        <v>216.99573476429435</v>
      </c>
      <c r="AN28" s="363">
        <v>238.45978772885292</v>
      </c>
      <c r="AO28" s="363">
        <v>260.8110571268264</v>
      </c>
      <c r="AP28" s="363">
        <v>284.00582010930543</v>
      </c>
      <c r="AQ28" s="363">
        <v>308.0187438931332</v>
      </c>
      <c r="AR28" s="363">
        <v>332.8450630287474</v>
      </c>
      <c r="AS28" s="363">
        <v>358.4896507626181</v>
      </c>
      <c r="AT28" s="363">
        <v>384.96172955300307</v>
      </c>
      <c r="AU28" s="363">
        <v>412.2713429955977</v>
      </c>
      <c r="AV28" s="363">
        <v>440.42873029811943</v>
      </c>
      <c r="AW28" s="363">
        <v>469.44433708780343</v>
      </c>
      <c r="AX28" s="363">
        <v>499.3283246969059</v>
      </c>
      <c r="AY28" s="363">
        <v>530.0904709829897</v>
      </c>
      <c r="AZ28" s="363">
        <v>561.7406049635439</v>
      </c>
      <c r="BA28" s="363">
        <v>594.2883487235083</v>
      </c>
      <c r="BB28" s="363">
        <v>627.742951064356</v>
      </c>
      <c r="BC28" s="363">
        <v>662.1136220791474</v>
      </c>
      <c r="BD28" s="363">
        <v>697.4083347198057</v>
      </c>
      <c r="BE28" s="363">
        <v>733.6329769362836</v>
      </c>
      <c r="BF28" s="363">
        <v>770.7926575201074</v>
      </c>
      <c r="BG28" s="363">
        <v>808.8929067611344</v>
      </c>
      <c r="BH28" s="79">
        <v>848.8764497492747</v>
      </c>
      <c r="BI28" s="79">
        <v>890.836377616701</v>
      </c>
      <c r="BJ28" s="79">
        <v>934.8703829864066</v>
      </c>
      <c r="BK28" s="79">
        <v>981.0809874237062</v>
      </c>
      <c r="BL28" s="79">
        <v>1029.5757801306556</v>
      </c>
      <c r="BM28" s="79">
        <v>1080.4676684391268</v>
      </c>
      <c r="BN28" s="79">
        <v>1133.875140685745</v>
      </c>
      <c r="BO28" s="79">
        <v>1189.9225420807236</v>
      </c>
      <c r="BP28" s="79">
        <v>1248.7403642128832</v>
      </c>
      <c r="BQ28" s="79">
        <v>1310.465548864893</v>
      </c>
      <c r="BR28" s="79">
        <v>1375.2418068460863</v>
      </c>
      <c r="BS28" s="79">
        <v>1443.2199525851688</v>
      </c>
      <c r="BT28" s="79">
        <v>1514.5582552618312</v>
      </c>
      <c r="BU28" s="79">
        <v>1589.4228072947826</v>
      </c>
      <c r="BV28" s="79">
        <v>1667.9879110441325</v>
      </c>
      <c r="BW28" s="79">
        <v>1750.4364846284545</v>
      </c>
    </row>
    <row r="29" spans="1:75" ht="12.75">
      <c r="A29" s="32" t="s">
        <v>503</v>
      </c>
      <c r="B29" s="31">
        <v>359.7547868</v>
      </c>
      <c r="C29" s="31">
        <v>691.1085952</v>
      </c>
      <c r="D29" s="31">
        <v>1085.496696</v>
      </c>
      <c r="E29" s="31">
        <v>1523.8956931999999</v>
      </c>
      <c r="F29" s="31">
        <v>2069.2331523999997</v>
      </c>
      <c r="G29" s="31">
        <v>2705.7702756</v>
      </c>
      <c r="H29" s="31">
        <v>3279.3782116</v>
      </c>
      <c r="I29" s="31">
        <v>3872.4046380000004</v>
      </c>
      <c r="J29" s="31">
        <v>4542.3163232</v>
      </c>
      <c r="K29" s="31">
        <v>5274.9</v>
      </c>
      <c r="L29" s="358">
        <v>6094.2</v>
      </c>
      <c r="M29" s="358">
        <v>6820.6</v>
      </c>
      <c r="N29" s="358">
        <v>7499.1</v>
      </c>
      <c r="O29" s="367">
        <v>9412.697902</v>
      </c>
      <c r="P29" s="367">
        <v>9412.697902</v>
      </c>
      <c r="Q29" s="96">
        <v>10115.68739452694</v>
      </c>
      <c r="R29" s="96">
        <v>10811.561125542063</v>
      </c>
      <c r="S29" s="96">
        <v>11529.305636662832</v>
      </c>
      <c r="T29" s="96">
        <v>12274.220738017804</v>
      </c>
      <c r="U29" s="96">
        <v>13048.243336463871</v>
      </c>
      <c r="V29" s="79">
        <v>13847.598364536532</v>
      </c>
      <c r="W29" s="79">
        <v>14665.969933317076</v>
      </c>
      <c r="X29" s="79">
        <v>15504.092969339254</v>
      </c>
      <c r="Y29" s="79">
        <v>16356.727130623256</v>
      </c>
      <c r="Z29" s="79">
        <v>17221.634248247236</v>
      </c>
      <c r="AA29" s="79">
        <v>18095.92307231053</v>
      </c>
      <c r="AB29" s="79">
        <v>18980.169662769335</v>
      </c>
      <c r="AC29" s="79">
        <v>19873.45371059937</v>
      </c>
      <c r="AD29" s="79">
        <v>20773.86016567548</v>
      </c>
      <c r="AE29" s="79">
        <v>21678.573696064374</v>
      </c>
      <c r="AF29" s="79">
        <v>22585.038474998026</v>
      </c>
      <c r="AG29" s="79">
        <v>23492.87446684784</v>
      </c>
      <c r="AH29" s="79">
        <v>24406.217624367204</v>
      </c>
      <c r="AI29" s="79">
        <v>25327.131442260506</v>
      </c>
      <c r="AJ29" s="79">
        <v>26257.87467894381</v>
      </c>
      <c r="AK29" s="79">
        <v>27198.707916986055</v>
      </c>
      <c r="AL29" s="79">
        <v>28145.611073105614</v>
      </c>
      <c r="AM29" s="79">
        <v>29094.275495079015</v>
      </c>
      <c r="AN29" s="79">
        <v>30041.392544417235</v>
      </c>
      <c r="AO29" s="79">
        <v>30981.70232558793</v>
      </c>
      <c r="AP29" s="79">
        <v>31911.976198094024</v>
      </c>
      <c r="AQ29" s="79">
        <v>32832.54141407154</v>
      </c>
      <c r="AR29" s="79">
        <v>33744.84254800529</v>
      </c>
      <c r="AS29" s="79">
        <v>34650.71984333119</v>
      </c>
      <c r="AT29" s="79">
        <v>35551.833126165635</v>
      </c>
      <c r="AU29" s="79">
        <v>36449.57621359375</v>
      </c>
      <c r="AV29" s="79">
        <v>37345.14769277853</v>
      </c>
      <c r="AW29" s="79">
        <v>38239.5712637219</v>
      </c>
      <c r="AX29" s="79">
        <v>39133.668465620874</v>
      </c>
      <c r="AY29" s="79">
        <v>40028.13903378068</v>
      </c>
      <c r="AZ29" s="79">
        <v>40923.59943049189</v>
      </c>
      <c r="BA29" s="79">
        <v>41820.54280527966</v>
      </c>
      <c r="BB29" s="79">
        <v>42719.39021586131</v>
      </c>
      <c r="BC29" s="79">
        <v>43620.51377049887</v>
      </c>
      <c r="BD29" s="79">
        <v>44524.08060086079</v>
      </c>
      <c r="BE29" s="79">
        <v>45430.142772692576</v>
      </c>
      <c r="BF29" s="79">
        <v>46338.749003409765</v>
      </c>
      <c r="BG29" s="79">
        <v>47249.98838007695</v>
      </c>
      <c r="BH29" s="79">
        <v>48162.946097347936</v>
      </c>
      <c r="BI29" s="79">
        <v>49076.636940415054</v>
      </c>
      <c r="BJ29" s="79">
        <v>49990.00120847201</v>
      </c>
      <c r="BK29" s="79">
        <v>50901.90042276018</v>
      </c>
      <c r="BL29" s="79">
        <v>51811.11280822962</v>
      </c>
      <c r="BM29" s="79">
        <v>52716.32853729577</v>
      </c>
      <c r="BN29" s="79">
        <v>53616.14472359653</v>
      </c>
      <c r="BO29" s="79">
        <v>54509.06015304853</v>
      </c>
      <c r="BP29" s="79">
        <v>55393.4697388657</v>
      </c>
      <c r="BQ29" s="79">
        <v>56267.658686536226</v>
      </c>
      <c r="BR29" s="79">
        <v>57129.79635405328</v>
      </c>
      <c r="BS29" s="79">
        <v>57977.929791959825</v>
      </c>
      <c r="BT29" s="79">
        <v>58809.976946996</v>
      </c>
      <c r="BU29" s="79">
        <v>59623.71951232735</v>
      </c>
      <c r="BV29" s="79">
        <v>60416.79540648191</v>
      </c>
      <c r="BW29" s="79">
        <v>61186.69086223164</v>
      </c>
    </row>
    <row r="30" spans="1:75" ht="12.75">
      <c r="A30" t="s">
        <v>132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8"/>
      <c r="M30" s="68"/>
      <c r="N30" s="68"/>
      <c r="O30" s="68"/>
      <c r="P30" s="68"/>
      <c r="Q30" s="68" t="str">
        <f>IF(ROUND((P29+Q23+Q24-Q25-Q27-Q28)-Q29,1)=0,"OK","ERROR")</f>
        <v>OK</v>
      </c>
      <c r="R30" s="68" t="str">
        <f aca="true" t="shared" si="3" ref="R30:AU30">IF(ROUND((Q29+R23+R24-R25-R27-R28)-R29,1)=0,"OK","ERROR")</f>
        <v>OK</v>
      </c>
      <c r="S30" s="68" t="str">
        <f t="shared" si="3"/>
        <v>OK</v>
      </c>
      <c r="T30" s="68" t="str">
        <f t="shared" si="3"/>
        <v>OK</v>
      </c>
      <c r="U30" s="68" t="str">
        <f t="shared" si="3"/>
        <v>OK</v>
      </c>
      <c r="V30" s="68" t="str">
        <f t="shared" si="3"/>
        <v>OK</v>
      </c>
      <c r="W30" s="68" t="str">
        <f t="shared" si="3"/>
        <v>OK</v>
      </c>
      <c r="X30" s="68" t="str">
        <f t="shared" si="3"/>
        <v>OK</v>
      </c>
      <c r="Y30" s="68" t="str">
        <f t="shared" si="3"/>
        <v>OK</v>
      </c>
      <c r="Z30" s="68" t="str">
        <f t="shared" si="3"/>
        <v>OK</v>
      </c>
      <c r="AA30" s="68" t="str">
        <f t="shared" si="3"/>
        <v>OK</v>
      </c>
      <c r="AB30" s="68" t="str">
        <f t="shared" si="3"/>
        <v>OK</v>
      </c>
      <c r="AC30" s="68" t="str">
        <f t="shared" si="3"/>
        <v>OK</v>
      </c>
      <c r="AD30" s="68" t="str">
        <f t="shared" si="3"/>
        <v>OK</v>
      </c>
      <c r="AE30" s="68" t="str">
        <f t="shared" si="3"/>
        <v>OK</v>
      </c>
      <c r="AF30" s="68" t="str">
        <f t="shared" si="3"/>
        <v>OK</v>
      </c>
      <c r="AG30" s="68" t="str">
        <f t="shared" si="3"/>
        <v>OK</v>
      </c>
      <c r="AH30" s="68" t="str">
        <f t="shared" si="3"/>
        <v>OK</v>
      </c>
      <c r="AI30" s="68" t="str">
        <f t="shared" si="3"/>
        <v>OK</v>
      </c>
      <c r="AJ30" s="68" t="str">
        <f t="shared" si="3"/>
        <v>OK</v>
      </c>
      <c r="AK30" s="68" t="str">
        <f t="shared" si="3"/>
        <v>OK</v>
      </c>
      <c r="AL30" s="68" t="str">
        <f t="shared" si="3"/>
        <v>OK</v>
      </c>
      <c r="AM30" s="68" t="str">
        <f t="shared" si="3"/>
        <v>OK</v>
      </c>
      <c r="AN30" s="68" t="str">
        <f t="shared" si="3"/>
        <v>OK</v>
      </c>
      <c r="AO30" s="68" t="str">
        <f t="shared" si="3"/>
        <v>OK</v>
      </c>
      <c r="AP30" s="68" t="str">
        <f t="shared" si="3"/>
        <v>OK</v>
      </c>
      <c r="AQ30" s="68" t="str">
        <f t="shared" si="3"/>
        <v>OK</v>
      </c>
      <c r="AR30" s="68" t="str">
        <f t="shared" si="3"/>
        <v>OK</v>
      </c>
      <c r="AS30" s="68" t="str">
        <f t="shared" si="3"/>
        <v>OK</v>
      </c>
      <c r="AT30" s="68" t="str">
        <f t="shared" si="3"/>
        <v>OK</v>
      </c>
      <c r="AU30" s="68" t="str">
        <f t="shared" si="3"/>
        <v>OK</v>
      </c>
      <c r="AV30" s="68" t="str">
        <f aca="true" t="shared" si="4" ref="AV30:BW30">IF(ROUND((AU29+AV23+AV24-AV25-AV27-AV28)-AV29,1)=0,"OK","ERROR")</f>
        <v>OK</v>
      </c>
      <c r="AW30" s="68" t="str">
        <f t="shared" si="4"/>
        <v>OK</v>
      </c>
      <c r="AX30" s="68" t="str">
        <f t="shared" si="4"/>
        <v>OK</v>
      </c>
      <c r="AY30" s="68" t="str">
        <f t="shared" si="4"/>
        <v>OK</v>
      </c>
      <c r="AZ30" s="68" t="str">
        <f t="shared" si="4"/>
        <v>OK</v>
      </c>
      <c r="BA30" s="68" t="str">
        <f t="shared" si="4"/>
        <v>OK</v>
      </c>
      <c r="BB30" s="68" t="str">
        <f t="shared" si="4"/>
        <v>OK</v>
      </c>
      <c r="BC30" s="68" t="str">
        <f t="shared" si="4"/>
        <v>OK</v>
      </c>
      <c r="BD30" s="68" t="str">
        <f t="shared" si="4"/>
        <v>OK</v>
      </c>
      <c r="BE30" s="68" t="str">
        <f t="shared" si="4"/>
        <v>OK</v>
      </c>
      <c r="BF30" s="68" t="str">
        <f t="shared" si="4"/>
        <v>OK</v>
      </c>
      <c r="BG30" s="68" t="str">
        <f t="shared" si="4"/>
        <v>OK</v>
      </c>
      <c r="BH30" s="68" t="str">
        <f t="shared" si="4"/>
        <v>OK</v>
      </c>
      <c r="BI30" s="68" t="str">
        <f t="shared" si="4"/>
        <v>OK</v>
      </c>
      <c r="BJ30" s="68" t="str">
        <f t="shared" si="4"/>
        <v>OK</v>
      </c>
      <c r="BK30" s="68" t="str">
        <f t="shared" si="4"/>
        <v>OK</v>
      </c>
      <c r="BL30" s="68" t="str">
        <f t="shared" si="4"/>
        <v>OK</v>
      </c>
      <c r="BM30" s="68" t="str">
        <f t="shared" si="4"/>
        <v>OK</v>
      </c>
      <c r="BN30" s="68" t="str">
        <f t="shared" si="4"/>
        <v>OK</v>
      </c>
      <c r="BO30" s="68" t="str">
        <f t="shared" si="4"/>
        <v>OK</v>
      </c>
      <c r="BP30" s="68" t="str">
        <f t="shared" si="4"/>
        <v>OK</v>
      </c>
      <c r="BQ30" s="68" t="str">
        <f t="shared" si="4"/>
        <v>OK</v>
      </c>
      <c r="BR30" s="68" t="str">
        <f t="shared" si="4"/>
        <v>OK</v>
      </c>
      <c r="BS30" s="68" t="str">
        <f t="shared" si="4"/>
        <v>OK</v>
      </c>
      <c r="BT30" s="68" t="str">
        <f t="shared" si="4"/>
        <v>OK</v>
      </c>
      <c r="BU30" s="68" t="str">
        <f t="shared" si="4"/>
        <v>OK</v>
      </c>
      <c r="BV30" s="68" t="str">
        <f t="shared" si="4"/>
        <v>OK</v>
      </c>
      <c r="BW30" s="68" t="str">
        <f t="shared" si="4"/>
        <v>OK</v>
      </c>
    </row>
    <row r="31" spans="3:74" ht="12.75">
      <c r="C31" s="69"/>
      <c r="D31" s="69"/>
      <c r="E31" s="69"/>
      <c r="F31" s="69"/>
      <c r="G31" s="69"/>
      <c r="H31" s="69"/>
      <c r="I31" s="69"/>
      <c r="J31" s="114"/>
      <c r="K31" s="114"/>
      <c r="L31" s="114"/>
      <c r="M31" s="11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69"/>
      <c r="BU31" s="69"/>
      <c r="BV31" s="69"/>
    </row>
    <row r="32" spans="1:73" ht="18.75">
      <c r="A32" s="59" t="s">
        <v>165</v>
      </c>
      <c r="B32" s="59"/>
      <c r="C32" s="60"/>
      <c r="D32" s="60"/>
      <c r="E32" s="110"/>
      <c r="F32" s="110"/>
      <c r="G32" s="110"/>
      <c r="H32" s="110"/>
      <c r="I32" s="110"/>
      <c r="J32" s="114"/>
      <c r="K32" s="114"/>
      <c r="L32" s="114"/>
      <c r="M32" s="114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114"/>
    </row>
    <row r="33" spans="1:73" ht="15.75">
      <c r="A33" s="236" t="s">
        <v>166</v>
      </c>
      <c r="B33" s="126"/>
      <c r="C33" s="60"/>
      <c r="D33" s="60"/>
      <c r="E33" s="126"/>
      <c r="F33" s="110"/>
      <c r="G33" s="110"/>
      <c r="H33" s="110"/>
      <c r="I33" s="110"/>
      <c r="J33" s="114"/>
      <c r="K33" s="114"/>
      <c r="L33" s="114"/>
      <c r="M33" s="11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</row>
    <row r="34" spans="1:73" ht="12.75">
      <c r="A34" s="61"/>
      <c r="B34" s="126" t="s">
        <v>681</v>
      </c>
      <c r="C34" s="60"/>
      <c r="D34" s="60"/>
      <c r="E34" s="126" t="s">
        <v>682</v>
      </c>
      <c r="F34" s="110"/>
      <c r="G34" s="110"/>
      <c r="H34" s="110"/>
      <c r="I34" s="110"/>
      <c r="J34" s="114"/>
      <c r="K34" s="114"/>
      <c r="L34" s="114"/>
      <c r="M34" s="11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</row>
    <row r="35" spans="1:73" ht="12.75">
      <c r="A35" s="128" t="s">
        <v>675</v>
      </c>
      <c r="B35" s="109" t="s">
        <v>563</v>
      </c>
      <c r="C35" s="109" t="s">
        <v>564</v>
      </c>
      <c r="D35" s="60"/>
      <c r="E35" s="109" t="s">
        <v>563</v>
      </c>
      <c r="F35" s="109" t="s">
        <v>564</v>
      </c>
      <c r="G35" s="110"/>
      <c r="H35" s="110"/>
      <c r="I35" s="110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</row>
    <row r="36" spans="1:73" ht="12.75">
      <c r="A36" s="128" t="s">
        <v>750</v>
      </c>
      <c r="B36" s="122">
        <v>226</v>
      </c>
      <c r="C36" s="122">
        <v>207</v>
      </c>
      <c r="D36" s="60"/>
      <c r="E36" s="122">
        <v>119</v>
      </c>
      <c r="F36" s="122">
        <v>127</v>
      </c>
      <c r="G36" s="110"/>
      <c r="H36" s="110">
        <f>B36*SUM(Popn!C103:C107)/1000000000</f>
        <v>0.03159254</v>
      </c>
      <c r="I36" s="110">
        <f>C36*SUM(Popn!C9:C13)/1000000000</f>
        <v>0.03026547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</row>
    <row r="37" spans="1:73" ht="12.75">
      <c r="A37" s="128" t="s">
        <v>751</v>
      </c>
      <c r="B37" s="122">
        <v>294</v>
      </c>
      <c r="C37" s="122">
        <v>217</v>
      </c>
      <c r="D37" s="60"/>
      <c r="E37" s="122">
        <v>110</v>
      </c>
      <c r="F37" s="122">
        <v>110</v>
      </c>
      <c r="G37" s="110"/>
      <c r="H37" s="110">
        <f>B37*SUM(Popn!C108:C112)/1000000000</f>
        <v>0.0419391</v>
      </c>
      <c r="I37" s="110">
        <f>C37*SUM(Popn!C14:C18)/1000000000</f>
        <v>0.03238291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</row>
    <row r="38" spans="1:73" ht="12.75">
      <c r="A38" s="128" t="s">
        <v>752</v>
      </c>
      <c r="B38" s="122">
        <v>355</v>
      </c>
      <c r="C38" s="122">
        <v>283</v>
      </c>
      <c r="D38" s="60"/>
      <c r="E38" s="122">
        <v>264</v>
      </c>
      <c r="F38" s="122">
        <v>251</v>
      </c>
      <c r="G38" s="110"/>
      <c r="H38" s="110">
        <f>B38*SUM(Popn!C113:C117)/1000000000</f>
        <v>0.0535766</v>
      </c>
      <c r="I38" s="110">
        <f>C38*SUM(Popn!C19:C23)/1000000000</f>
        <v>0.04514133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</row>
    <row r="39" spans="1:73" ht="12.75">
      <c r="A39" s="128" t="s">
        <v>753</v>
      </c>
      <c r="B39" s="122">
        <v>296</v>
      </c>
      <c r="C39" s="122">
        <v>271</v>
      </c>
      <c r="D39" s="60"/>
      <c r="E39" s="122">
        <v>422</v>
      </c>
      <c r="F39" s="122">
        <v>531</v>
      </c>
      <c r="G39" s="110"/>
      <c r="H39" s="110">
        <f>B39*SUM(Popn!C118:C122)/1000000000</f>
        <v>0.0456284</v>
      </c>
      <c r="I39" s="110">
        <f>C39*SUM(Popn!C24:C28)/1000000000</f>
        <v>0.04320011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</row>
    <row r="40" spans="1:73" ht="12.75">
      <c r="A40" s="128" t="s">
        <v>676</v>
      </c>
      <c r="B40" s="122">
        <v>468</v>
      </c>
      <c r="C40" s="122">
        <v>807</v>
      </c>
      <c r="D40" s="60"/>
      <c r="E40" s="122">
        <v>447</v>
      </c>
      <c r="F40" s="122">
        <v>1089</v>
      </c>
      <c r="G40" s="110"/>
      <c r="H40" s="110">
        <f>B40*SUM(Popn!C123:C132)/1000000000</f>
        <v>0.1305486</v>
      </c>
      <c r="I40" s="110">
        <f>C40*SUM(Popn!C29:C38)/1000000000</f>
        <v>0.22001241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</row>
    <row r="41" spans="1:73" ht="12.75">
      <c r="A41" s="128" t="s">
        <v>677</v>
      </c>
      <c r="B41" s="122">
        <v>751</v>
      </c>
      <c r="C41" s="122">
        <v>1272</v>
      </c>
      <c r="D41" s="60"/>
      <c r="E41" s="122">
        <v>662</v>
      </c>
      <c r="F41" s="122">
        <v>1015</v>
      </c>
      <c r="G41" s="110"/>
      <c r="H41" s="110">
        <f>B41*SUM(Popn!C133:C142)/1000000000</f>
        <v>0.23514561</v>
      </c>
      <c r="I41" s="110">
        <f>C41*SUM(Popn!C39:C48)/1000000000</f>
        <v>0.36310512</v>
      </c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</row>
    <row r="42" spans="1:73" ht="12.75">
      <c r="A42" s="128" t="s">
        <v>678</v>
      </c>
      <c r="B42" s="122">
        <v>3475</v>
      </c>
      <c r="C42" s="122">
        <v>5103</v>
      </c>
      <c r="D42" s="60"/>
      <c r="E42" s="122">
        <v>441</v>
      </c>
      <c r="F42" s="122">
        <v>230</v>
      </c>
      <c r="G42" s="110"/>
      <c r="H42" s="110">
        <f>B42*SUM(Popn!C143:C152)/1000000000</f>
        <v>1.12100025</v>
      </c>
      <c r="I42" s="110">
        <f>C42*SUM(Popn!C49:C58)/1000000000</f>
        <v>1.55677221</v>
      </c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</row>
    <row r="43" spans="1:73" ht="12.75">
      <c r="A43" s="128" t="s">
        <v>679</v>
      </c>
      <c r="B43" s="122">
        <v>1243</v>
      </c>
      <c r="C43" s="122">
        <v>1949</v>
      </c>
      <c r="D43" s="60"/>
      <c r="E43" s="122">
        <v>444</v>
      </c>
      <c r="F43" s="122">
        <v>522</v>
      </c>
      <c r="G43" s="110"/>
      <c r="H43" s="110">
        <f>B43*SUM(Popn!C153:C162)/1000000000</f>
        <v>0.31902838</v>
      </c>
      <c r="I43" s="110">
        <f>C43*SUM(Popn!C59:C68)/1000000000</f>
        <v>0.48726949</v>
      </c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</row>
    <row r="44" spans="1:73" ht="12.75">
      <c r="A44" s="128" t="s">
        <v>762</v>
      </c>
      <c r="B44" s="122">
        <v>1339</v>
      </c>
      <c r="C44" s="122">
        <v>2460</v>
      </c>
      <c r="D44" s="60"/>
      <c r="E44" s="122">
        <v>372</v>
      </c>
      <c r="F44" s="122">
        <v>420</v>
      </c>
      <c r="G44" s="110"/>
      <c r="H44" s="110">
        <f>B44*SUM(Popn!C163:C167)/1000000000</f>
        <v>0.12687025</v>
      </c>
      <c r="I44" s="110">
        <f>C44*SUM(Popn!C69:C73)/1000000000</f>
        <v>0.226074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</row>
    <row r="45" spans="1:73" ht="12.75">
      <c r="A45" s="128" t="s">
        <v>680</v>
      </c>
      <c r="B45" s="122">
        <v>610</v>
      </c>
      <c r="C45" s="122">
        <v>884</v>
      </c>
      <c r="D45" s="60"/>
      <c r="E45" s="122">
        <v>530</v>
      </c>
      <c r="F45" s="122">
        <v>472</v>
      </c>
      <c r="G45" s="110"/>
      <c r="H45" s="110">
        <f>B45*SUM(Popn!C168:C193)/1000000000</f>
        <v>0.1724348</v>
      </c>
      <c r="I45" s="110">
        <f>C45*SUM(Popn!C74:C99)/1000000000</f>
        <v>0.2023918</v>
      </c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</row>
    <row r="46" spans="1:73" ht="13.5" thickBot="1">
      <c r="A46" s="127" t="s">
        <v>767</v>
      </c>
      <c r="B46" s="129">
        <f>SUM(B36:B45)</f>
        <v>9057</v>
      </c>
      <c r="C46" s="129">
        <f>SUM(C36:C45)</f>
        <v>13453</v>
      </c>
      <c r="D46" s="129"/>
      <c r="E46" s="129">
        <f>SUM(E36:E45)</f>
        <v>3811</v>
      </c>
      <c r="F46" s="129">
        <f>SUM(F36:F45)</f>
        <v>4767</v>
      </c>
      <c r="G46" s="110"/>
      <c r="H46" s="110">
        <f>SUM(H36:H45)</f>
        <v>2.27776453</v>
      </c>
      <c r="I46" s="110">
        <f>SUM(I36:I45)</f>
        <v>3.2066148500000002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</row>
    <row r="47" spans="3:74" ht="12.75">
      <c r="C47" s="69"/>
      <c r="D47" s="69"/>
      <c r="E47" s="113"/>
      <c r="F47" s="113"/>
      <c r="G47" s="113"/>
      <c r="H47" s="113"/>
      <c r="I47" s="113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69"/>
    </row>
    <row r="48" spans="11:13" ht="12.75">
      <c r="K48" s="113"/>
      <c r="L48" s="113"/>
      <c r="M48" s="113"/>
    </row>
    <row r="49" spans="1:15" ht="15.75">
      <c r="A49" s="35" t="s">
        <v>624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O49" t="s">
        <v>735</v>
      </c>
    </row>
    <row r="50" spans="1:15" ht="13.5" thickBot="1">
      <c r="A50" s="81" t="s">
        <v>769</v>
      </c>
      <c r="B50" s="83" t="s">
        <v>768</v>
      </c>
      <c r="C50" s="85"/>
      <c r="D50" s="83" t="s">
        <v>673</v>
      </c>
      <c r="E50" s="82"/>
      <c r="F50" s="83" t="s">
        <v>771</v>
      </c>
      <c r="G50" s="85"/>
      <c r="H50" s="83" t="s">
        <v>772</v>
      </c>
      <c r="I50" s="85"/>
      <c r="J50" s="83" t="s">
        <v>672</v>
      </c>
      <c r="K50" s="85"/>
      <c r="L50" s="83" t="s">
        <v>773</v>
      </c>
      <c r="M50" s="85"/>
      <c r="O50" t="s">
        <v>625</v>
      </c>
    </row>
    <row r="51" spans="1:16" ht="13.5" thickBot="1">
      <c r="A51" s="80" t="s">
        <v>770</v>
      </c>
      <c r="B51" s="84" t="s">
        <v>563</v>
      </c>
      <c r="C51" s="85" t="s">
        <v>564</v>
      </c>
      <c r="D51" s="84" t="s">
        <v>563</v>
      </c>
      <c r="E51" s="85" t="s">
        <v>564</v>
      </c>
      <c r="F51" s="84" t="s">
        <v>563</v>
      </c>
      <c r="G51" s="85" t="s">
        <v>564</v>
      </c>
      <c r="H51" s="84" t="s">
        <v>563</v>
      </c>
      <c r="I51" s="85" t="s">
        <v>564</v>
      </c>
      <c r="J51" s="84" t="s">
        <v>563</v>
      </c>
      <c r="K51" s="85" t="s">
        <v>564</v>
      </c>
      <c r="L51" s="84" t="s">
        <v>563</v>
      </c>
      <c r="M51" s="85" t="s">
        <v>564</v>
      </c>
      <c r="O51" t="s">
        <v>563</v>
      </c>
      <c r="P51" t="s">
        <v>564</v>
      </c>
    </row>
    <row r="52" spans="1:23" ht="12.75">
      <c r="A52" s="86" t="s">
        <v>750</v>
      </c>
      <c r="B52" s="88">
        <v>1890.0413222232678</v>
      </c>
      <c r="C52" s="88">
        <v>2231.7786403029104</v>
      </c>
      <c r="D52" s="88">
        <v>0</v>
      </c>
      <c r="E52" s="88">
        <v>0</v>
      </c>
      <c r="F52" s="88">
        <v>99.59783171402644</v>
      </c>
      <c r="G52" s="88">
        <v>99.60325422812052</v>
      </c>
      <c r="H52" s="88">
        <v>72.16400601431464</v>
      </c>
      <c r="I52" s="88">
        <v>72.16400601431464</v>
      </c>
      <c r="J52" s="88">
        <v>195.72437023167495</v>
      </c>
      <c r="K52" s="88">
        <v>195.72437023167495</v>
      </c>
      <c r="L52" s="88">
        <f aca="true" t="shared" si="5" ref="L52:L69">SUM(B52,D52,F52,H52,J52)</f>
        <v>2257.527530183284</v>
      </c>
      <c r="M52" s="88">
        <f aca="true" t="shared" si="6" ref="M52:M69">SUM(C52,E52,G52,I52,K52)</f>
        <v>2599.2702707770204</v>
      </c>
      <c r="N52" s="52"/>
      <c r="O52" s="52">
        <f>L52*SUM(Popn!C103:C107)/1000000</f>
        <v>315.5797734443213</v>
      </c>
      <c r="P52" s="52">
        <f>M52*SUM(Popn!C9:C13)/1000000</f>
        <v>380.03930629030816</v>
      </c>
      <c r="Q52" s="52"/>
      <c r="R52" s="52"/>
      <c r="S52" s="52"/>
      <c r="T52" s="58"/>
      <c r="U52" s="52"/>
      <c r="V52" s="52"/>
      <c r="W52" s="52"/>
    </row>
    <row r="53" spans="1:23" ht="12.75">
      <c r="A53" s="86" t="s">
        <v>751</v>
      </c>
      <c r="B53" s="88">
        <v>466.71477102943925</v>
      </c>
      <c r="C53" s="88">
        <v>547.929849983577</v>
      </c>
      <c r="D53" s="88">
        <v>0</v>
      </c>
      <c r="E53" s="88">
        <v>0</v>
      </c>
      <c r="F53" s="88">
        <v>96.57205727481497</v>
      </c>
      <c r="G53" s="88">
        <v>96.61037177003573</v>
      </c>
      <c r="H53" s="88">
        <v>72.16400601431462</v>
      </c>
      <c r="I53" s="88">
        <v>72.16400601431464</v>
      </c>
      <c r="J53" s="88">
        <v>195.72437023167498</v>
      </c>
      <c r="K53" s="88">
        <v>195.72437023167507</v>
      </c>
      <c r="L53" s="88">
        <f t="shared" si="5"/>
        <v>831.1752045502437</v>
      </c>
      <c r="M53" s="88">
        <f t="shared" si="6"/>
        <v>912.4285979996024</v>
      </c>
      <c r="N53" s="52"/>
      <c r="O53" s="52">
        <f>L53*SUM(Popn!C108:C112)/1000000</f>
        <v>118.56714292909227</v>
      </c>
      <c r="P53" s="52">
        <f>M53*SUM(Popn!C14:C18)/1000000</f>
        <v>136.16171967948068</v>
      </c>
      <c r="Q53" s="52"/>
      <c r="R53" s="52"/>
      <c r="S53" s="52"/>
      <c r="T53" s="58"/>
      <c r="U53" s="52"/>
      <c r="V53" s="52"/>
      <c r="W53" s="52"/>
    </row>
    <row r="54" spans="1:23" ht="12.75">
      <c r="A54" s="86" t="s">
        <v>752</v>
      </c>
      <c r="B54" s="88">
        <v>435.6429093074215</v>
      </c>
      <c r="C54" s="88">
        <v>488.0775732029507</v>
      </c>
      <c r="D54" s="88">
        <v>0</v>
      </c>
      <c r="E54" s="88">
        <v>0</v>
      </c>
      <c r="F54" s="88">
        <v>94.33574188235164</v>
      </c>
      <c r="G54" s="88">
        <v>94.55011056614657</v>
      </c>
      <c r="H54" s="88">
        <v>72.16400601431461</v>
      </c>
      <c r="I54" s="88">
        <v>72.16400601431464</v>
      </c>
      <c r="J54" s="88">
        <v>195.72437023167498</v>
      </c>
      <c r="K54" s="88">
        <v>195.72437023167498</v>
      </c>
      <c r="L54" s="88">
        <f t="shared" si="5"/>
        <v>797.8670274357628</v>
      </c>
      <c r="M54" s="88">
        <f t="shared" si="6"/>
        <v>850.5160600150869</v>
      </c>
      <c r="N54" s="52"/>
      <c r="O54" s="52">
        <f>L54*SUM(Popn!C113:C117)/1000000</f>
        <v>120.41409178060532</v>
      </c>
      <c r="P54" s="52">
        <f>M54*SUM(Popn!C19:C23)/1000000</f>
        <v>135.6658167330065</v>
      </c>
      <c r="Q54" s="52"/>
      <c r="R54" s="52"/>
      <c r="S54" s="52"/>
      <c r="T54" s="58"/>
      <c r="U54" s="52"/>
      <c r="V54" s="52"/>
      <c r="W54" s="52"/>
    </row>
    <row r="55" spans="1:23" ht="12.75">
      <c r="A55" s="86" t="s">
        <v>753</v>
      </c>
      <c r="B55" s="88">
        <v>718.7461877975354</v>
      </c>
      <c r="C55" s="88">
        <v>581.2941515986302</v>
      </c>
      <c r="D55" s="88">
        <v>0</v>
      </c>
      <c r="E55" s="88">
        <v>0</v>
      </c>
      <c r="F55" s="88">
        <v>295.6065989581825</v>
      </c>
      <c r="G55" s="88">
        <v>292.638171487672</v>
      </c>
      <c r="H55" s="88">
        <v>72.16400601431464</v>
      </c>
      <c r="I55" s="88">
        <v>72.16400601431464</v>
      </c>
      <c r="J55" s="88">
        <v>195.724370231675</v>
      </c>
      <c r="K55" s="88">
        <v>195.72437023167504</v>
      </c>
      <c r="L55" s="88">
        <f t="shared" si="5"/>
        <v>1282.2411630017077</v>
      </c>
      <c r="M55" s="88">
        <f t="shared" si="6"/>
        <v>1141.820699332292</v>
      </c>
      <c r="N55" s="52"/>
      <c r="O55" s="52">
        <f>L55*SUM(Popn!C118:C122)/1000000</f>
        <v>197.65747527671326</v>
      </c>
      <c r="P55" s="52">
        <f>M55*SUM(Popn!C24:C28)/1000000</f>
        <v>182.01763768056065</v>
      </c>
      <c r="Q55" s="52"/>
      <c r="R55" s="52"/>
      <c r="S55" s="52"/>
      <c r="T55" s="58"/>
      <c r="U55" s="52"/>
      <c r="V55" s="52"/>
      <c r="W55" s="52"/>
    </row>
    <row r="56" spans="1:23" ht="12.75">
      <c r="A56" s="86" t="s">
        <v>754</v>
      </c>
      <c r="B56" s="88">
        <v>1037.7640029471736</v>
      </c>
      <c r="C56" s="88">
        <v>594.1995334861285</v>
      </c>
      <c r="D56" s="88">
        <v>0</v>
      </c>
      <c r="E56" s="88">
        <v>0</v>
      </c>
      <c r="F56" s="88">
        <v>260.56737975304395</v>
      </c>
      <c r="G56" s="88">
        <v>256.79018813005666</v>
      </c>
      <c r="H56" s="88">
        <v>72.16400601431462</v>
      </c>
      <c r="I56" s="88">
        <v>72.16400601431462</v>
      </c>
      <c r="J56" s="88">
        <v>195.724370231675</v>
      </c>
      <c r="K56" s="88">
        <v>195.72437023167495</v>
      </c>
      <c r="L56" s="88">
        <f t="shared" si="5"/>
        <v>1566.219758946207</v>
      </c>
      <c r="M56" s="88">
        <f t="shared" si="6"/>
        <v>1118.8780978621749</v>
      </c>
      <c r="N56" s="52"/>
      <c r="O56" s="52">
        <f>L56*SUM(Popn!C123:C127)/1000000</f>
        <v>227.6500419628312</v>
      </c>
      <c r="P56" s="52">
        <f>M56*SUM(Popn!C29:C33)/1000000</f>
        <v>163.1883705731982</v>
      </c>
      <c r="Q56" s="52"/>
      <c r="R56" s="52"/>
      <c r="S56" s="52"/>
      <c r="T56" s="58"/>
      <c r="U56" s="52"/>
      <c r="V56" s="52"/>
      <c r="W56" s="52"/>
    </row>
    <row r="57" spans="1:23" ht="12.75">
      <c r="A57" s="86" t="s">
        <v>755</v>
      </c>
      <c r="B57" s="88">
        <v>1290.5630224691186</v>
      </c>
      <c r="C57" s="88">
        <v>631.0668404359083</v>
      </c>
      <c r="D57" s="88">
        <v>0</v>
      </c>
      <c r="E57" s="88">
        <v>0</v>
      </c>
      <c r="F57" s="88">
        <v>256.3455933760719</v>
      </c>
      <c r="G57" s="88">
        <v>255.7477200468607</v>
      </c>
      <c r="H57" s="88">
        <v>72.16400601431462</v>
      </c>
      <c r="I57" s="88">
        <v>72.16400601431462</v>
      </c>
      <c r="J57" s="88">
        <v>195.72437023167495</v>
      </c>
      <c r="K57" s="88">
        <v>195.72437023167495</v>
      </c>
      <c r="L57" s="88">
        <f t="shared" si="5"/>
        <v>1814.79699209118</v>
      </c>
      <c r="M57" s="88">
        <f t="shared" si="6"/>
        <v>1154.7029367287585</v>
      </c>
      <c r="N57" s="52"/>
      <c r="O57" s="52">
        <f>L57*SUM(Popn!C128:C132)/1000000</f>
        <v>242.45687814338166</v>
      </c>
      <c r="P57" s="52">
        <f>M57*SUM(Popn!C34:C38)/1000000</f>
        <v>146.393238318472</v>
      </c>
      <c r="Q57" s="52"/>
      <c r="R57" s="52"/>
      <c r="S57" s="52"/>
      <c r="T57" s="58"/>
      <c r="U57" s="52"/>
      <c r="V57" s="52"/>
      <c r="W57" s="52"/>
    </row>
    <row r="58" spans="1:23" ht="12.75">
      <c r="A58" s="86" t="s">
        <v>756</v>
      </c>
      <c r="B58" s="88">
        <v>1347.454139854522</v>
      </c>
      <c r="C58" s="88">
        <v>655.6650740139798</v>
      </c>
      <c r="D58" s="88">
        <v>0</v>
      </c>
      <c r="E58" s="88">
        <v>0</v>
      </c>
      <c r="F58" s="88">
        <v>248.78588813349654</v>
      </c>
      <c r="G58" s="88">
        <v>249.75248594867713</v>
      </c>
      <c r="H58" s="88">
        <v>72.16400601431464</v>
      </c>
      <c r="I58" s="88">
        <v>72.16400601431462</v>
      </c>
      <c r="J58" s="88">
        <v>195.72437023167504</v>
      </c>
      <c r="K58" s="88">
        <v>195.724370231675</v>
      </c>
      <c r="L58" s="88">
        <f t="shared" si="5"/>
        <v>1864.1284042340083</v>
      </c>
      <c r="M58" s="88">
        <f t="shared" si="6"/>
        <v>1173.3059362086465</v>
      </c>
      <c r="N58" s="52"/>
      <c r="O58" s="52">
        <f>L58*SUM(Popn!C133:C137)/1000000</f>
        <v>279.0413808297887</v>
      </c>
      <c r="P58" s="52">
        <f>M58*SUM(Popn!C39:C43)/1000000</f>
        <v>159.9450652239627</v>
      </c>
      <c r="Q58" s="52"/>
      <c r="R58" s="52"/>
      <c r="S58" s="52"/>
      <c r="T58" s="58"/>
      <c r="U58" s="52"/>
      <c r="V58" s="52"/>
      <c r="W58" s="52"/>
    </row>
    <row r="59" spans="1:23" ht="12.75">
      <c r="A59" s="86" t="s">
        <v>757</v>
      </c>
      <c r="B59" s="88">
        <v>1119.7952198325174</v>
      </c>
      <c r="C59" s="88">
        <v>722.5974727458345</v>
      </c>
      <c r="D59" s="88">
        <v>0</v>
      </c>
      <c r="E59" s="88">
        <v>0</v>
      </c>
      <c r="F59" s="88">
        <v>240.9839726937641</v>
      </c>
      <c r="G59" s="88">
        <v>241.67635765667472</v>
      </c>
      <c r="H59" s="88">
        <v>72.16400601431465</v>
      </c>
      <c r="I59" s="88">
        <v>72.16400601431465</v>
      </c>
      <c r="J59" s="88">
        <v>195.72437023167504</v>
      </c>
      <c r="K59" s="88">
        <v>195.72437023167504</v>
      </c>
      <c r="L59" s="88">
        <f t="shared" si="5"/>
        <v>1628.6675687722714</v>
      </c>
      <c r="M59" s="88">
        <f t="shared" si="6"/>
        <v>1232.162206648499</v>
      </c>
      <c r="N59" s="52"/>
      <c r="O59" s="52">
        <f>L59*SUM(Popn!C138:C142)/1000000</f>
        <v>266.1568540887646</v>
      </c>
      <c r="P59" s="52">
        <f>M59*SUM(Popn!C44:C48)/1000000</f>
        <v>183.76467149955712</v>
      </c>
      <c r="Q59" s="52"/>
      <c r="R59" s="52"/>
      <c r="S59" s="52"/>
      <c r="T59" s="58"/>
      <c r="U59" s="52"/>
      <c r="V59" s="52"/>
      <c r="W59" s="52"/>
    </row>
    <row r="60" spans="1:23" ht="12.75">
      <c r="A60" s="86" t="s">
        <v>758</v>
      </c>
      <c r="B60" s="88">
        <v>956.4724559415005</v>
      </c>
      <c r="C60" s="88">
        <v>838.7276759234235</v>
      </c>
      <c r="D60" s="88">
        <v>0</v>
      </c>
      <c r="E60" s="88">
        <v>0</v>
      </c>
      <c r="F60" s="88">
        <v>236.44242823853034</v>
      </c>
      <c r="G60" s="88">
        <v>235.62590996491863</v>
      </c>
      <c r="H60" s="88">
        <v>72.16400601431461</v>
      </c>
      <c r="I60" s="88">
        <v>72.16400601431465</v>
      </c>
      <c r="J60" s="88">
        <v>195.72437023167495</v>
      </c>
      <c r="K60" s="88">
        <v>195.72437023167504</v>
      </c>
      <c r="L60" s="88">
        <f t="shared" si="5"/>
        <v>1460.8032604260204</v>
      </c>
      <c r="M60" s="88">
        <f t="shared" si="6"/>
        <v>1342.241962134332</v>
      </c>
      <c r="N60" s="52"/>
      <c r="O60" s="52">
        <f>L60*SUM(Popn!C143:C147)/1000000</f>
        <v>243.28217499134942</v>
      </c>
      <c r="P60" s="52">
        <f>M60*SUM(Popn!C49:C53)/1000000</f>
        <v>209.32263399484904</v>
      </c>
      <c r="Q60" s="52"/>
      <c r="R60" s="52"/>
      <c r="S60" s="52"/>
      <c r="T60" s="58"/>
      <c r="U60" s="52"/>
      <c r="V60" s="52"/>
      <c r="W60" s="52"/>
    </row>
    <row r="61" spans="1:23" ht="12.75">
      <c r="A61" s="86" t="s">
        <v>759</v>
      </c>
      <c r="B61" s="88">
        <v>1064.7160361461479</v>
      </c>
      <c r="C61" s="88">
        <v>1049.0017030844572</v>
      </c>
      <c r="D61" s="88">
        <v>0</v>
      </c>
      <c r="E61" s="88">
        <v>0</v>
      </c>
      <c r="F61" s="88">
        <v>232.13081339214955</v>
      </c>
      <c r="G61" s="88">
        <v>231.09328974541344</v>
      </c>
      <c r="H61" s="88">
        <v>72.16400601431465</v>
      </c>
      <c r="I61" s="88">
        <v>72.16400601431465</v>
      </c>
      <c r="J61" s="88">
        <v>195.72437023167504</v>
      </c>
      <c r="K61" s="88">
        <v>195.724370231675</v>
      </c>
      <c r="L61" s="88">
        <f t="shared" si="5"/>
        <v>1564.7352257842872</v>
      </c>
      <c r="M61" s="88">
        <f t="shared" si="6"/>
        <v>1547.9833690758603</v>
      </c>
      <c r="N61" s="52"/>
      <c r="O61" s="52">
        <f>L61*SUM(Popn!C148:C152)/1000000</f>
        <v>244.176931983638</v>
      </c>
      <c r="P61" s="52">
        <f>M61*SUM(Popn!C54:C58)/1000000</f>
        <v>230.83527999659228</v>
      </c>
      <c r="Q61" s="52"/>
      <c r="R61" s="52"/>
      <c r="S61" s="52"/>
      <c r="T61" s="58"/>
      <c r="U61" s="52"/>
      <c r="V61" s="52"/>
      <c r="W61" s="52"/>
    </row>
    <row r="62" spans="1:23" ht="12.75">
      <c r="A62" s="86" t="s">
        <v>760</v>
      </c>
      <c r="B62" s="88">
        <v>1268.0599191268068</v>
      </c>
      <c r="C62" s="88">
        <v>1328.5613380008165</v>
      </c>
      <c r="D62" s="88">
        <v>17.60873758398047</v>
      </c>
      <c r="E62" s="88">
        <v>14.97270862889734</v>
      </c>
      <c r="F62" s="88">
        <v>229.1670612725418</v>
      </c>
      <c r="G62" s="88">
        <v>227.6992469477734</v>
      </c>
      <c r="H62" s="88">
        <v>72.16400601431464</v>
      </c>
      <c r="I62" s="88">
        <v>72.16400601431465</v>
      </c>
      <c r="J62" s="88">
        <v>195.72437023167498</v>
      </c>
      <c r="K62" s="88">
        <v>195.724370231675</v>
      </c>
      <c r="L62" s="88">
        <f t="shared" si="5"/>
        <v>1782.7240942293188</v>
      </c>
      <c r="M62" s="88">
        <f t="shared" si="6"/>
        <v>1839.121669823477</v>
      </c>
      <c r="N62" s="52"/>
      <c r="O62" s="52">
        <f>L62*SUM(Popn!C153:C157)/1000000</f>
        <v>238.4036931212868</v>
      </c>
      <c r="P62" s="52">
        <f>M62*SUM(Popn!C59:C63)/1000000</f>
        <v>238.95707856016438</v>
      </c>
      <c r="Q62" s="52"/>
      <c r="R62" s="52"/>
      <c r="S62" s="52"/>
      <c r="T62" s="58"/>
      <c r="U62" s="52"/>
      <c r="V62" s="52"/>
      <c r="W62" s="52"/>
    </row>
    <row r="63" spans="1:23" ht="12.75">
      <c r="A63" s="86" t="s">
        <v>761</v>
      </c>
      <c r="B63" s="88">
        <v>1607.9447566780254</v>
      </c>
      <c r="C63" s="88">
        <v>1815.574837920862</v>
      </c>
      <c r="D63" s="88">
        <v>29.835496477906958</v>
      </c>
      <c r="E63" s="88">
        <v>27.396725421047318</v>
      </c>
      <c r="F63" s="88">
        <v>231.3950925608135</v>
      </c>
      <c r="G63" s="88">
        <v>225.54582302746718</v>
      </c>
      <c r="H63" s="88">
        <v>72.16400601431462</v>
      </c>
      <c r="I63" s="88">
        <v>72.16400601431462</v>
      </c>
      <c r="J63" s="88">
        <v>195.72437023167504</v>
      </c>
      <c r="K63" s="88">
        <v>195.72437023167498</v>
      </c>
      <c r="L63" s="88">
        <f t="shared" si="5"/>
        <v>2137.0637219627356</v>
      </c>
      <c r="M63" s="88">
        <f t="shared" si="6"/>
        <v>2336.405762615366</v>
      </c>
      <c r="N63" s="52"/>
      <c r="O63" s="52">
        <f>L63*SUM(Popn!C158:C163)/1000000</f>
        <v>307.16016875770396</v>
      </c>
      <c r="P63" s="52">
        <f>M63*SUM(Popn!C64:C68)/1000000</f>
        <v>280.5556039748531</v>
      </c>
      <c r="Q63" s="52"/>
      <c r="R63" s="52"/>
      <c r="S63" s="52"/>
      <c r="T63" s="58"/>
      <c r="U63" s="52"/>
      <c r="V63" s="52"/>
      <c r="W63" s="52"/>
    </row>
    <row r="64" spans="1:23" ht="12.75">
      <c r="A64" s="86" t="s">
        <v>762</v>
      </c>
      <c r="B64" s="88">
        <v>2083.6058593475577</v>
      </c>
      <c r="C64" s="88">
        <v>2481.195759724078</v>
      </c>
      <c r="D64" s="88">
        <v>85.50598700713003</v>
      </c>
      <c r="E64" s="88">
        <v>77.65066162356325</v>
      </c>
      <c r="F64" s="88">
        <v>236.50431058693943</v>
      </c>
      <c r="G64" s="88">
        <v>237.5191060513178</v>
      </c>
      <c r="H64" s="88">
        <v>72.16400601431467</v>
      </c>
      <c r="I64" s="88">
        <v>72.16400601431462</v>
      </c>
      <c r="J64" s="88">
        <v>195.72437023167507</v>
      </c>
      <c r="K64" s="88">
        <v>195.72437023167495</v>
      </c>
      <c r="L64" s="88">
        <f t="shared" si="5"/>
        <v>2673.5045331876167</v>
      </c>
      <c r="M64" s="88">
        <f t="shared" si="6"/>
        <v>3064.253903644949</v>
      </c>
      <c r="N64" s="52"/>
      <c r="O64" s="52">
        <f>L64*SUM(Popn!C164:C167)/1000000</f>
        <v>197.70566022922426</v>
      </c>
      <c r="P64" s="52">
        <f>M64*SUM(Popn!C69:C73)/1000000</f>
        <v>281.6049337449708</v>
      </c>
      <c r="Q64" s="52"/>
      <c r="R64" s="52"/>
      <c r="S64" s="52"/>
      <c r="T64" s="58"/>
      <c r="U64" s="52"/>
      <c r="V64" s="52"/>
      <c r="W64" s="52"/>
    </row>
    <row r="65" spans="1:23" ht="12.75">
      <c r="A65" s="86" t="s">
        <v>763</v>
      </c>
      <c r="B65" s="88">
        <v>2837.6325484579183</v>
      </c>
      <c r="C65" s="88">
        <v>3499.4436101752967</v>
      </c>
      <c r="D65" s="88">
        <v>306.76810207076085</v>
      </c>
      <c r="E65" s="88">
        <v>281.02305600606826</v>
      </c>
      <c r="F65" s="88">
        <v>208.1068050283344</v>
      </c>
      <c r="G65" s="88">
        <v>197.7849564543624</v>
      </c>
      <c r="H65" s="88">
        <v>72.16400601431467</v>
      </c>
      <c r="I65" s="88">
        <v>72.16400601431464</v>
      </c>
      <c r="J65" s="88">
        <v>0</v>
      </c>
      <c r="K65" s="88">
        <v>0</v>
      </c>
      <c r="L65" s="88">
        <f t="shared" si="5"/>
        <v>3424.671461571328</v>
      </c>
      <c r="M65" s="88">
        <f t="shared" si="6"/>
        <v>4050.415628650042</v>
      </c>
      <c r="N65" s="52"/>
      <c r="O65" s="52">
        <f>L65*SUM(Popn!C168:C172)/1000000</f>
        <v>273.6654964941648</v>
      </c>
      <c r="P65" s="52">
        <f>M65*SUM(Popn!C74:C78)/1000000</f>
        <v>306.29242983851617</v>
      </c>
      <c r="Q65" s="52"/>
      <c r="R65" s="52"/>
      <c r="S65" s="52"/>
      <c r="T65" s="58"/>
      <c r="U65" s="52"/>
      <c r="V65" s="52"/>
      <c r="W65" s="52"/>
    </row>
    <row r="66" spans="1:23" ht="12.75">
      <c r="A66" s="86" t="s">
        <v>764</v>
      </c>
      <c r="B66" s="88">
        <v>3536.509921773732</v>
      </c>
      <c r="C66" s="88">
        <v>4557.156954012927</v>
      </c>
      <c r="D66" s="88">
        <v>742.2288731094384</v>
      </c>
      <c r="E66" s="88">
        <v>649.3101694912008</v>
      </c>
      <c r="F66" s="88">
        <v>219.43066336023313</v>
      </c>
      <c r="G66" s="88">
        <v>206.12753367862982</v>
      </c>
      <c r="H66" s="88">
        <v>72.16400601431464</v>
      </c>
      <c r="I66" s="88">
        <v>72.16400601431464</v>
      </c>
      <c r="J66" s="88">
        <v>0</v>
      </c>
      <c r="K66" s="88">
        <v>0</v>
      </c>
      <c r="L66" s="88">
        <f t="shared" si="5"/>
        <v>4570.333464257717</v>
      </c>
      <c r="M66" s="88">
        <f t="shared" si="6"/>
        <v>5484.758663197073</v>
      </c>
      <c r="N66" s="52"/>
      <c r="O66" s="52">
        <f>L66*SUM(Popn!C173:C177)/1000000</f>
        <v>286.9255348860995</v>
      </c>
      <c r="P66" s="52">
        <f>M66*SUM(Popn!C79:C83)/1000000</f>
        <v>314.77029968088</v>
      </c>
      <c r="Q66" s="52"/>
      <c r="R66" s="52"/>
      <c r="S66" s="52"/>
      <c r="T66" s="58"/>
      <c r="U66" s="52"/>
      <c r="V66" s="52"/>
      <c r="W66" s="52"/>
    </row>
    <row r="67" spans="1:23" ht="12.75">
      <c r="A67" s="86" t="s">
        <v>765</v>
      </c>
      <c r="B67" s="88">
        <v>4420.148701464256</v>
      </c>
      <c r="C67" s="88">
        <v>5648.896758494453</v>
      </c>
      <c r="D67" s="88">
        <v>1607.2124858510122</v>
      </c>
      <c r="E67" s="88">
        <v>1309.482930466605</v>
      </c>
      <c r="F67" s="88">
        <v>232.80876697018155</v>
      </c>
      <c r="G67" s="88">
        <v>211.47829356719342</v>
      </c>
      <c r="H67" s="88">
        <v>72.16400601431462</v>
      </c>
      <c r="I67" s="88">
        <v>72.16400601431464</v>
      </c>
      <c r="J67" s="88">
        <v>0</v>
      </c>
      <c r="K67" s="88">
        <v>0</v>
      </c>
      <c r="L67" s="88">
        <f t="shared" si="5"/>
        <v>6332.333960299765</v>
      </c>
      <c r="M67" s="88">
        <f t="shared" si="6"/>
        <v>7242.021988542567</v>
      </c>
      <c r="N67" s="52"/>
      <c r="O67" s="52">
        <f>L67*SUM(Popn!C178:C182)/1000000</f>
        <v>354.8639951351988</v>
      </c>
      <c r="P67" s="52">
        <f>M67*SUM(Popn!C84:C88)/1000000</f>
        <v>344.5029859949699</v>
      </c>
      <c r="Q67" s="52"/>
      <c r="R67" s="52"/>
      <c r="S67" s="52"/>
      <c r="T67" s="58"/>
      <c r="U67" s="52"/>
      <c r="V67" s="52"/>
      <c r="W67" s="52"/>
    </row>
    <row r="68" spans="1:23" ht="12.75">
      <c r="A68" s="86" t="s">
        <v>766</v>
      </c>
      <c r="B68" s="88">
        <v>5895.85815685766</v>
      </c>
      <c r="C68" s="88">
        <v>7105.05580731499</v>
      </c>
      <c r="D68" s="88">
        <v>3362.584350508857</v>
      </c>
      <c r="E68" s="88">
        <v>2468.9609978099716</v>
      </c>
      <c r="F68" s="88">
        <v>243.34122905517236</v>
      </c>
      <c r="G68" s="88">
        <v>211.83460176987703</v>
      </c>
      <c r="H68" s="88">
        <v>72.16400601431465</v>
      </c>
      <c r="I68" s="88">
        <v>72.16400601431465</v>
      </c>
      <c r="J68" s="88">
        <v>0</v>
      </c>
      <c r="K68" s="88">
        <v>0</v>
      </c>
      <c r="L68" s="88">
        <f t="shared" si="5"/>
        <v>9573.947742436005</v>
      </c>
      <c r="M68" s="88">
        <f t="shared" si="6"/>
        <v>9858.015412909152</v>
      </c>
      <c r="N68" s="52"/>
      <c r="O68" s="52">
        <f>L68*SUM(Popn!C183:C187)/1000000</f>
        <v>421.25370066718426</v>
      </c>
      <c r="P68" s="52">
        <f>M68*SUM(Popn!C89:C93)/1000000</f>
        <v>297.5149051615982</v>
      </c>
      <c r="Q68" s="52"/>
      <c r="R68" s="52"/>
      <c r="S68" s="52"/>
      <c r="T68" s="58"/>
      <c r="U68" s="52"/>
      <c r="V68" s="52"/>
      <c r="W68" s="52"/>
    </row>
    <row r="69" spans="1:23" ht="12.75">
      <c r="A69" s="86" t="s">
        <v>671</v>
      </c>
      <c r="B69" s="88">
        <v>5404.6895119027495</v>
      </c>
      <c r="C69" s="88">
        <v>6115.344610374689</v>
      </c>
      <c r="D69" s="88">
        <v>9335.382928292378</v>
      </c>
      <c r="E69" s="88">
        <v>5938.673569551739</v>
      </c>
      <c r="F69" s="88">
        <v>237.69213447332373</v>
      </c>
      <c r="G69" s="88">
        <v>198.6245790059965</v>
      </c>
      <c r="H69" s="88">
        <v>72.16400601431464</v>
      </c>
      <c r="I69" s="88">
        <v>72.16400601431464</v>
      </c>
      <c r="J69" s="88">
        <v>0</v>
      </c>
      <c r="K69" s="88">
        <v>0</v>
      </c>
      <c r="L69" s="88">
        <f t="shared" si="5"/>
        <v>15049.928580682765</v>
      </c>
      <c r="M69" s="88">
        <f t="shared" si="6"/>
        <v>12324.80676494674</v>
      </c>
      <c r="N69" s="52"/>
      <c r="O69" s="52">
        <f>L69*SUM(Popn!C188:C193)/1000000</f>
        <v>601.2446467982764</v>
      </c>
      <c r="P69" s="52">
        <f>M69*SUM(Popn!C94:C99)/1000000</f>
        <v>224.18823505438118</v>
      </c>
      <c r="Q69" s="52"/>
      <c r="R69" s="52"/>
      <c r="S69" s="52"/>
      <c r="T69" s="58"/>
      <c r="U69" s="52"/>
      <c r="V69" s="52"/>
      <c r="W69" s="52"/>
    </row>
    <row r="70" spans="1:23" ht="13.5" thickBot="1">
      <c r="A70" s="87" t="s">
        <v>767</v>
      </c>
      <c r="B70" s="89">
        <f aca="true" t="shared" si="7" ref="B70:M70">SUM(B52:B69)</f>
        <v>37382.35944315735</v>
      </c>
      <c r="C70" s="89">
        <f t="shared" si="7"/>
        <v>40891.56819079591</v>
      </c>
      <c r="D70" s="89">
        <f t="shared" si="7"/>
        <v>15487.126960901463</v>
      </c>
      <c r="E70" s="89">
        <f t="shared" si="7"/>
        <v>10767.470818999092</v>
      </c>
      <c r="F70" s="89">
        <f t="shared" si="7"/>
        <v>3899.814368723972</v>
      </c>
      <c r="G70" s="89">
        <f t="shared" si="7"/>
        <v>3770.7020000471935</v>
      </c>
      <c r="H70" s="89">
        <f t="shared" si="7"/>
        <v>1298.9521082576634</v>
      </c>
      <c r="I70" s="89">
        <f t="shared" si="7"/>
        <v>1298.9521082576637</v>
      </c>
      <c r="J70" s="89">
        <f t="shared" si="7"/>
        <v>2544.416813011775</v>
      </c>
      <c r="K70" s="89">
        <f t="shared" si="7"/>
        <v>2544.416813011775</v>
      </c>
      <c r="L70" s="89">
        <f t="shared" si="7"/>
        <v>60612.66969405222</v>
      </c>
      <c r="M70" s="89">
        <f t="shared" si="7"/>
        <v>59273.10993111164</v>
      </c>
      <c r="N70" s="52"/>
      <c r="O70" s="52">
        <f>SUM(O52:O69)</f>
        <v>4936.205641519625</v>
      </c>
      <c r="P70" s="52">
        <f>SUM(P52:P69)</f>
        <v>4215.720212000321</v>
      </c>
      <c r="Q70" s="52"/>
      <c r="R70" s="52"/>
      <c r="S70" s="52"/>
      <c r="T70" s="58"/>
      <c r="U70" s="52"/>
      <c r="V70" s="52"/>
      <c r="W70" s="52"/>
    </row>
    <row r="71" spans="14:23" ht="12.75">
      <c r="N71" s="52" t="s">
        <v>767</v>
      </c>
      <c r="O71" s="52">
        <f>O70+P70</f>
        <v>9151.925853519946</v>
      </c>
      <c r="P71" s="52"/>
      <c r="Q71" s="52"/>
      <c r="R71" s="52"/>
      <c r="S71" s="52"/>
      <c r="T71" s="58"/>
      <c r="U71" s="52"/>
      <c r="V71" s="52"/>
      <c r="W71" s="52"/>
    </row>
    <row r="72" spans="14:20" ht="12.75">
      <c r="N72" s="125" t="s">
        <v>674</v>
      </c>
      <c r="O72" s="52">
        <v>9034.543</v>
      </c>
      <c r="P72" s="125">
        <f>O71/O72</f>
        <v>1.012992671961376</v>
      </c>
      <c r="Q72" s="125"/>
      <c r="R72" s="125"/>
      <c r="S72" s="125"/>
      <c r="T72" s="58"/>
    </row>
    <row r="73" spans="1:9" ht="15.75">
      <c r="A73" s="42" t="s">
        <v>598</v>
      </c>
      <c r="B73" s="41"/>
      <c r="C73" s="41"/>
      <c r="D73" s="41"/>
      <c r="E73" s="41"/>
      <c r="F73" s="41"/>
      <c r="G73" s="41"/>
      <c r="H73" s="41"/>
      <c r="I73" s="41"/>
    </row>
    <row r="74" spans="1:9" ht="12.75">
      <c r="A74" s="41"/>
      <c r="B74" s="41"/>
      <c r="C74" s="41"/>
      <c r="D74" s="41"/>
      <c r="E74" s="41"/>
      <c r="F74" s="41"/>
      <c r="G74" s="41"/>
      <c r="H74" s="41"/>
      <c r="I74" s="41"/>
    </row>
    <row r="75" spans="1:9" ht="12.75">
      <c r="A75" s="36"/>
      <c r="B75" s="132" t="s">
        <v>507</v>
      </c>
      <c r="C75" s="133"/>
      <c r="D75" s="132" t="s">
        <v>504</v>
      </c>
      <c r="E75" s="133"/>
      <c r="F75" s="132" t="s">
        <v>505</v>
      </c>
      <c r="G75" s="133"/>
      <c r="H75" s="132" t="s">
        <v>741</v>
      </c>
      <c r="I75" s="133"/>
    </row>
    <row r="76" spans="1:9" ht="12.75">
      <c r="A76" s="37" t="s">
        <v>561</v>
      </c>
      <c r="B76" s="38" t="s">
        <v>563</v>
      </c>
      <c r="C76" s="38" t="s">
        <v>564</v>
      </c>
      <c r="D76" s="38" t="s">
        <v>563</v>
      </c>
      <c r="E76" s="38" t="s">
        <v>564</v>
      </c>
      <c r="F76" s="38" t="s">
        <v>563</v>
      </c>
      <c r="G76" s="38" t="s">
        <v>564</v>
      </c>
      <c r="H76" s="38" t="s">
        <v>563</v>
      </c>
      <c r="I76" s="38" t="s">
        <v>564</v>
      </c>
    </row>
    <row r="77" spans="1:9" ht="12.75">
      <c r="A77" s="130">
        <v>16</v>
      </c>
      <c r="B77" s="134">
        <v>152</v>
      </c>
      <c r="C77" s="134">
        <v>0</v>
      </c>
      <c r="D77" s="134">
        <v>169</v>
      </c>
      <c r="E77" s="134">
        <v>268</v>
      </c>
      <c r="F77" s="134">
        <v>39</v>
      </c>
      <c r="G77" s="134">
        <v>4</v>
      </c>
      <c r="H77" s="134">
        <f aca="true" t="shared" si="8" ref="H77:H89">AVERAGE(B77,D77,F77)</f>
        <v>120</v>
      </c>
      <c r="I77" s="134">
        <f aca="true" t="shared" si="9" ref="I77:I89">AVERAGE(C77,E77,G77)</f>
        <v>90.66666666666667</v>
      </c>
    </row>
    <row r="78" spans="1:9" ht="12.75">
      <c r="A78" s="130">
        <v>17</v>
      </c>
      <c r="B78" s="135">
        <v>443</v>
      </c>
      <c r="C78" s="135">
        <v>9</v>
      </c>
      <c r="D78" s="135">
        <v>252</v>
      </c>
      <c r="E78" s="135">
        <v>370</v>
      </c>
      <c r="F78" s="135">
        <v>74</v>
      </c>
      <c r="G78" s="135">
        <v>8</v>
      </c>
      <c r="H78" s="135">
        <f t="shared" si="8"/>
        <v>256.3333333333333</v>
      </c>
      <c r="I78" s="135">
        <f t="shared" si="9"/>
        <v>129</v>
      </c>
    </row>
    <row r="79" spans="1:9" ht="12.75">
      <c r="A79" s="130" t="s">
        <v>684</v>
      </c>
      <c r="B79" s="135">
        <v>2906</v>
      </c>
      <c r="C79" s="135">
        <v>53</v>
      </c>
      <c r="D79" s="135">
        <v>647</v>
      </c>
      <c r="E79" s="135">
        <v>768</v>
      </c>
      <c r="F79" s="135">
        <v>962</v>
      </c>
      <c r="G79" s="135">
        <v>427</v>
      </c>
      <c r="H79" s="135">
        <f t="shared" si="8"/>
        <v>1505</v>
      </c>
      <c r="I79" s="135">
        <f t="shared" si="9"/>
        <v>416</v>
      </c>
    </row>
    <row r="80" spans="1:9" ht="12.75">
      <c r="A80" s="130" t="s">
        <v>685</v>
      </c>
      <c r="B80" s="135">
        <v>15244</v>
      </c>
      <c r="C80" s="135">
        <v>550</v>
      </c>
      <c r="D80" s="135">
        <v>1572</v>
      </c>
      <c r="E80" s="135">
        <v>2162</v>
      </c>
      <c r="F80" s="135">
        <v>2173</v>
      </c>
      <c r="G80" s="135">
        <v>1898</v>
      </c>
      <c r="H80" s="135">
        <f t="shared" si="8"/>
        <v>6329.666666666667</v>
      </c>
      <c r="I80" s="135">
        <f t="shared" si="9"/>
        <v>1536.6666666666667</v>
      </c>
    </row>
    <row r="81" spans="1:9" ht="12.75">
      <c r="A81" s="130" t="s">
        <v>686</v>
      </c>
      <c r="B81" s="135">
        <v>17510</v>
      </c>
      <c r="C81" s="135">
        <v>1148</v>
      </c>
      <c r="D81" s="135">
        <v>1675</v>
      </c>
      <c r="E81" s="135">
        <v>2420</v>
      </c>
      <c r="F81" s="135">
        <v>1588</v>
      </c>
      <c r="G81" s="135">
        <v>2364</v>
      </c>
      <c r="H81" s="135">
        <f t="shared" si="8"/>
        <v>6924.333333333333</v>
      </c>
      <c r="I81" s="135">
        <f t="shared" si="9"/>
        <v>1977.3333333333333</v>
      </c>
    </row>
    <row r="82" spans="1:9" ht="12.75">
      <c r="A82" s="130" t="s">
        <v>687</v>
      </c>
      <c r="B82" s="135">
        <v>18452</v>
      </c>
      <c r="C82" s="135">
        <v>1929</v>
      </c>
      <c r="D82" s="135">
        <v>2431</v>
      </c>
      <c r="E82" s="135">
        <v>3215</v>
      </c>
      <c r="F82" s="135">
        <v>1604</v>
      </c>
      <c r="G82" s="135">
        <v>3017</v>
      </c>
      <c r="H82" s="135">
        <f t="shared" si="8"/>
        <v>7495.666666666667</v>
      </c>
      <c r="I82" s="135">
        <f t="shared" si="9"/>
        <v>2720.3333333333335</v>
      </c>
    </row>
    <row r="83" spans="1:9" ht="12.75">
      <c r="A83" s="130" t="s">
        <v>688</v>
      </c>
      <c r="B83" s="135">
        <v>17118</v>
      </c>
      <c r="C83" s="135">
        <v>2148</v>
      </c>
      <c r="D83" s="135">
        <v>3032</v>
      </c>
      <c r="E83" s="135">
        <v>3968</v>
      </c>
      <c r="F83" s="135">
        <v>1555</v>
      </c>
      <c r="G83" s="135">
        <v>3157</v>
      </c>
      <c r="H83" s="135">
        <f t="shared" si="8"/>
        <v>7235</v>
      </c>
      <c r="I83" s="135">
        <f t="shared" si="9"/>
        <v>3091</v>
      </c>
    </row>
    <row r="84" spans="1:9" ht="12.75">
      <c r="A84" s="130" t="s">
        <v>689</v>
      </c>
      <c r="B84" s="135">
        <v>13578</v>
      </c>
      <c r="C84" s="135">
        <v>1916</v>
      </c>
      <c r="D84" s="135">
        <v>3979</v>
      </c>
      <c r="E84" s="135">
        <v>4603</v>
      </c>
      <c r="F84" s="135">
        <v>1975</v>
      </c>
      <c r="G84" s="135">
        <v>3327</v>
      </c>
      <c r="H84" s="135">
        <f t="shared" si="8"/>
        <v>6510.666666666667</v>
      </c>
      <c r="I84" s="135">
        <f t="shared" si="9"/>
        <v>3282</v>
      </c>
    </row>
    <row r="85" spans="1:9" ht="12.75">
      <c r="A85" s="130" t="s">
        <v>690</v>
      </c>
      <c r="B85" s="135">
        <v>6936</v>
      </c>
      <c r="C85" s="135">
        <v>1301</v>
      </c>
      <c r="D85" s="135">
        <v>4112</v>
      </c>
      <c r="E85" s="135">
        <v>4635</v>
      </c>
      <c r="F85" s="135">
        <v>2281</v>
      </c>
      <c r="G85" s="135">
        <v>3063</v>
      </c>
      <c r="H85" s="135">
        <f t="shared" si="8"/>
        <v>4443</v>
      </c>
      <c r="I85" s="135">
        <f t="shared" si="9"/>
        <v>2999.6666666666665</v>
      </c>
    </row>
    <row r="86" spans="1:9" ht="12.75">
      <c r="A86" s="130" t="s">
        <v>691</v>
      </c>
      <c r="B86" s="135">
        <v>3046</v>
      </c>
      <c r="C86" s="135">
        <v>732</v>
      </c>
      <c r="D86" s="135">
        <v>4694</v>
      </c>
      <c r="E86" s="135">
        <v>4726</v>
      </c>
      <c r="F86" s="135">
        <v>2717</v>
      </c>
      <c r="G86" s="135">
        <v>2873</v>
      </c>
      <c r="H86" s="135">
        <f t="shared" si="8"/>
        <v>3485.6666666666665</v>
      </c>
      <c r="I86" s="135">
        <f t="shared" si="9"/>
        <v>2777</v>
      </c>
    </row>
    <row r="87" spans="1:9" ht="12.75">
      <c r="A87" s="130" t="s">
        <v>692</v>
      </c>
      <c r="B87" s="135">
        <v>1931</v>
      </c>
      <c r="C87" s="135">
        <v>410</v>
      </c>
      <c r="D87" s="135">
        <v>5529</v>
      </c>
      <c r="E87" s="135">
        <v>5460</v>
      </c>
      <c r="F87" s="135">
        <v>2652</v>
      </c>
      <c r="G87" s="135">
        <v>3131</v>
      </c>
      <c r="H87" s="135">
        <f t="shared" si="8"/>
        <v>3370.6666666666665</v>
      </c>
      <c r="I87" s="135">
        <f t="shared" si="9"/>
        <v>3000.3333333333335</v>
      </c>
    </row>
    <row r="88" spans="1:9" ht="12.75">
      <c r="A88" s="130" t="s">
        <v>693</v>
      </c>
      <c r="B88" s="135">
        <v>1946</v>
      </c>
      <c r="C88" s="135">
        <v>167</v>
      </c>
      <c r="D88" s="135">
        <v>5455</v>
      </c>
      <c r="E88" s="135">
        <v>6556</v>
      </c>
      <c r="F88" s="135">
        <v>1305</v>
      </c>
      <c r="G88" s="135">
        <v>2041</v>
      </c>
      <c r="H88" s="135">
        <f t="shared" si="8"/>
        <v>2902</v>
      </c>
      <c r="I88" s="135">
        <f t="shared" si="9"/>
        <v>2921.3333333333335</v>
      </c>
    </row>
    <row r="89" spans="1:9" ht="12.75">
      <c r="A89" s="130" t="s">
        <v>565</v>
      </c>
      <c r="B89" s="136">
        <v>35</v>
      </c>
      <c r="C89" s="136">
        <v>13</v>
      </c>
      <c r="D89" s="136">
        <v>199</v>
      </c>
      <c r="E89" s="136">
        <v>294</v>
      </c>
      <c r="F89" s="136">
        <v>144</v>
      </c>
      <c r="G89" s="136">
        <v>157</v>
      </c>
      <c r="H89" s="136">
        <f t="shared" si="8"/>
        <v>126</v>
      </c>
      <c r="I89" s="136">
        <f t="shared" si="9"/>
        <v>154.66666666666666</v>
      </c>
    </row>
    <row r="90" spans="1:9" ht="12.75">
      <c r="A90" s="131" t="s">
        <v>767</v>
      </c>
      <c r="B90" s="137">
        <f aca="true" t="shared" si="10" ref="B90:I90">SUM(B$77:B$89)</f>
        <v>99297</v>
      </c>
      <c r="C90" s="137">
        <f t="shared" si="10"/>
        <v>10376</v>
      </c>
      <c r="D90" s="137">
        <f t="shared" si="10"/>
        <v>33746</v>
      </c>
      <c r="E90" s="137">
        <f t="shared" si="10"/>
        <v>39445</v>
      </c>
      <c r="F90" s="137">
        <f t="shared" si="10"/>
        <v>19069</v>
      </c>
      <c r="G90" s="137">
        <f t="shared" si="10"/>
        <v>25467</v>
      </c>
      <c r="H90" s="137">
        <f t="shared" si="10"/>
        <v>50703.99999999999</v>
      </c>
      <c r="I90" s="137">
        <f t="shared" si="10"/>
        <v>25095.999999999996</v>
      </c>
    </row>
    <row r="91" spans="1:9" ht="12.75">
      <c r="A91" s="36" t="s">
        <v>694</v>
      </c>
      <c r="B91" s="132" t="s">
        <v>507</v>
      </c>
      <c r="C91" s="133"/>
      <c r="D91" s="132" t="s">
        <v>504</v>
      </c>
      <c r="E91" s="133"/>
      <c r="F91" s="132" t="s">
        <v>505</v>
      </c>
      <c r="G91" s="133"/>
      <c r="H91" s="132" t="s">
        <v>566</v>
      </c>
      <c r="I91" s="133"/>
    </row>
    <row r="92" spans="1:9" ht="12.75">
      <c r="A92" s="37" t="s">
        <v>561</v>
      </c>
      <c r="B92" s="38" t="s">
        <v>563</v>
      </c>
      <c r="C92" s="38" t="s">
        <v>564</v>
      </c>
      <c r="D92" s="38" t="s">
        <v>563</v>
      </c>
      <c r="E92" s="38" t="s">
        <v>564</v>
      </c>
      <c r="F92" s="38" t="s">
        <v>563</v>
      </c>
      <c r="G92" s="38" t="s">
        <v>564</v>
      </c>
      <c r="H92" s="38" t="s">
        <v>563</v>
      </c>
      <c r="I92" s="38" t="s">
        <v>564</v>
      </c>
    </row>
    <row r="93" spans="1:9" ht="12.75">
      <c r="A93" s="39" t="s">
        <v>695</v>
      </c>
      <c r="B93" s="138">
        <f>SUM($B77:$B79)/SUM($B$77:$C$89)</f>
        <v>0.03192216862855945</v>
      </c>
      <c r="C93" s="138">
        <f>SUM($C77:$C79)/SUM($B$77:$C$89)</f>
        <v>0.000565316896592598</v>
      </c>
      <c r="D93" s="138">
        <f>SUM($D77:$D79)/SUM($D$77:$E$89)</f>
        <v>0.014591958027626348</v>
      </c>
      <c r="E93" s="138">
        <f>SUM($E77:$E79)/SUM($D$77:$E$89)</f>
        <v>0.019210012159965022</v>
      </c>
      <c r="F93" s="138">
        <f>SUM($F77:$F79)/SUM($F$77:$G$89)</f>
        <v>0.024137776181067</v>
      </c>
      <c r="G93" s="138">
        <f>SUM($G77:$G79)/SUM($F$77:$G$89)</f>
        <v>0.009857194179989223</v>
      </c>
      <c r="H93" s="138">
        <f>SUM($H77:$H79)/SUM($H$77:$I$89)</f>
        <v>0.024819700967458228</v>
      </c>
      <c r="I93" s="138">
        <f>SUM($I77:$I79)/SUM($H$77:$I$89)</f>
        <v>0.008386103781882148</v>
      </c>
    </row>
    <row r="94" spans="1:9" ht="12.75">
      <c r="A94" s="39" t="s">
        <v>685</v>
      </c>
      <c r="B94" s="138">
        <f aca="true" t="shared" si="11" ref="B94:B103">$B80/SUM($B$77:$C$89)</f>
        <v>0.13899501244608975</v>
      </c>
      <c r="C94" s="138">
        <f aca="true" t="shared" si="12" ref="C94:C103">$C80/SUM($B$77:$C$89)</f>
        <v>0.005014907953644014</v>
      </c>
      <c r="D94" s="138">
        <f aca="true" t="shared" si="13" ref="D94:D103">$D80/SUM($D$77:$E$89)</f>
        <v>0.021478050579989343</v>
      </c>
      <c r="E94" s="138">
        <f aca="true" t="shared" si="14" ref="E94:E103">$E80/SUM($D$77:$E$89)</f>
        <v>0.029539150988509517</v>
      </c>
      <c r="F94" s="138">
        <f aca="true" t="shared" si="15" ref="F94:F103">$F80/SUM($F$77:$G$89)</f>
        <v>0.04879198850368242</v>
      </c>
      <c r="G94" s="138">
        <f aca="true" t="shared" si="16" ref="G94:G103">$G80/SUM($F$77:$G$89)</f>
        <v>0.042617208550386206</v>
      </c>
      <c r="H94" s="138">
        <f aca="true" t="shared" si="17" ref="H94:H103">$H80/SUM($H$77:$I$89)</f>
        <v>0.08350483729111699</v>
      </c>
      <c r="I94" s="138">
        <f aca="true" t="shared" si="18" ref="I94:I103">$I80/SUM($H$77:$I$89)</f>
        <v>0.020272647317502203</v>
      </c>
    </row>
    <row r="95" spans="1:9" ht="12.75">
      <c r="A95" s="39" t="s">
        <v>686</v>
      </c>
      <c r="B95" s="138">
        <f t="shared" si="11"/>
        <v>0.1596564332151031</v>
      </c>
      <c r="C95" s="138">
        <f t="shared" si="12"/>
        <v>0.010467480601424235</v>
      </c>
      <c r="D95" s="138">
        <f t="shared" si="13"/>
        <v>0.02288532743096829</v>
      </c>
      <c r="E95" s="138">
        <f t="shared" si="14"/>
        <v>0.033064174556981046</v>
      </c>
      <c r="F95" s="138">
        <f t="shared" si="15"/>
        <v>0.03565654751212502</v>
      </c>
      <c r="G95" s="138">
        <f t="shared" si="16"/>
        <v>0.05308065385306269</v>
      </c>
      <c r="H95" s="138">
        <f t="shared" si="17"/>
        <v>0.0913500439753738</v>
      </c>
      <c r="I95" s="138">
        <f t="shared" si="18"/>
        <v>0.026086191732629733</v>
      </c>
    </row>
    <row r="96" spans="1:9" ht="12.75">
      <c r="A96" s="39" t="s">
        <v>687</v>
      </c>
      <c r="B96" s="138">
        <f t="shared" si="11"/>
        <v>0.1682456028375261</v>
      </c>
      <c r="C96" s="138">
        <f t="shared" si="12"/>
        <v>0.017588649895598735</v>
      </c>
      <c r="D96" s="138">
        <f t="shared" si="13"/>
        <v>0.033214466259512784</v>
      </c>
      <c r="E96" s="138">
        <f t="shared" si="14"/>
        <v>0.043926165785410774</v>
      </c>
      <c r="F96" s="138">
        <f t="shared" si="15"/>
        <v>0.03601580743668044</v>
      </c>
      <c r="G96" s="138">
        <f t="shared" si="16"/>
        <v>0.0677429495239806</v>
      </c>
      <c r="H96" s="138">
        <f t="shared" si="17"/>
        <v>0.09888742304309589</v>
      </c>
      <c r="I96" s="138">
        <f t="shared" si="18"/>
        <v>0.03588830255057169</v>
      </c>
    </row>
    <row r="97" spans="1:9" ht="12.75">
      <c r="A97" s="39" t="s">
        <v>688</v>
      </c>
      <c r="B97" s="138">
        <f t="shared" si="11"/>
        <v>0.15608217154632406</v>
      </c>
      <c r="C97" s="138">
        <f t="shared" si="12"/>
        <v>0.01958549506259517</v>
      </c>
      <c r="D97" s="138">
        <f t="shared" si="13"/>
        <v>0.041425858370564686</v>
      </c>
      <c r="E97" s="138">
        <f t="shared" si="14"/>
        <v>0.05421431596781025</v>
      </c>
      <c r="F97" s="138">
        <f t="shared" si="15"/>
        <v>0.034915573917729474</v>
      </c>
      <c r="G97" s="138">
        <f t="shared" si="16"/>
        <v>0.07088647386384049</v>
      </c>
      <c r="H97" s="138">
        <f t="shared" si="17"/>
        <v>0.09544854881266493</v>
      </c>
      <c r="I97" s="138">
        <f t="shared" si="18"/>
        <v>0.04077836411609499</v>
      </c>
    </row>
    <row r="98" spans="1:9" ht="12.75">
      <c r="A98" s="39" t="s">
        <v>689</v>
      </c>
      <c r="B98" s="138">
        <f t="shared" si="11"/>
        <v>0.12380440035377896</v>
      </c>
      <c r="C98" s="138">
        <f t="shared" si="12"/>
        <v>0.017470115707603512</v>
      </c>
      <c r="D98" s="138">
        <f t="shared" si="13"/>
        <v>0.05436460767034198</v>
      </c>
      <c r="E98" s="138">
        <f t="shared" si="14"/>
        <v>0.06289024606850568</v>
      </c>
      <c r="F98" s="138">
        <f t="shared" si="15"/>
        <v>0.04434614693730914</v>
      </c>
      <c r="G98" s="138">
        <f t="shared" si="16"/>
        <v>0.07470361056224178</v>
      </c>
      <c r="H98" s="138">
        <f t="shared" si="17"/>
        <v>0.08589270008795077</v>
      </c>
      <c r="I98" s="138">
        <f t="shared" si="18"/>
        <v>0.0432981530343008</v>
      </c>
    </row>
    <row r="99" spans="1:9" ht="12.75">
      <c r="A99" s="39" t="s">
        <v>690</v>
      </c>
      <c r="B99" s="138">
        <f t="shared" si="11"/>
        <v>0.06324254830268161</v>
      </c>
      <c r="C99" s="138">
        <f t="shared" si="12"/>
        <v>0.011862536813983388</v>
      </c>
      <c r="D99" s="138">
        <f t="shared" si="13"/>
        <v>0.056181770982771106</v>
      </c>
      <c r="E99" s="138">
        <f t="shared" si="14"/>
        <v>0.06332745829405255</v>
      </c>
      <c r="F99" s="138">
        <f t="shared" si="15"/>
        <v>0.05121699299443147</v>
      </c>
      <c r="G99" s="138">
        <f t="shared" si="16"/>
        <v>0.06877582180707742</v>
      </c>
      <c r="H99" s="138">
        <f t="shared" si="17"/>
        <v>0.058614775725593676</v>
      </c>
      <c r="I99" s="138">
        <f t="shared" si="18"/>
        <v>0.039573438874230434</v>
      </c>
    </row>
    <row r="100" spans="1:9" ht="12.75">
      <c r="A100" s="39" t="s">
        <v>691</v>
      </c>
      <c r="B100" s="138">
        <f t="shared" si="11"/>
        <v>0.02777347204872667</v>
      </c>
      <c r="C100" s="138">
        <f t="shared" si="12"/>
        <v>0.006674386585577125</v>
      </c>
      <c r="D100" s="138">
        <f t="shared" si="13"/>
        <v>0.06413356833490456</v>
      </c>
      <c r="E100" s="138">
        <f t="shared" si="14"/>
        <v>0.06457078056045142</v>
      </c>
      <c r="F100" s="138">
        <f t="shared" si="15"/>
        <v>0.06100682593856655</v>
      </c>
      <c r="G100" s="138">
        <f t="shared" si="16"/>
        <v>0.06450961020298186</v>
      </c>
      <c r="H100" s="138">
        <f t="shared" si="17"/>
        <v>0.045985048372911175</v>
      </c>
      <c r="I100" s="138">
        <f t="shared" si="18"/>
        <v>0.0366358839050132</v>
      </c>
    </row>
    <row r="101" spans="1:9" ht="12.75">
      <c r="A101" s="39" t="s">
        <v>692</v>
      </c>
      <c r="B101" s="138">
        <f t="shared" si="11"/>
        <v>0.017606885924521077</v>
      </c>
      <c r="C101" s="138">
        <f t="shared" si="12"/>
        <v>0.0037383859290800836</v>
      </c>
      <c r="D101" s="138">
        <f t="shared" si="13"/>
        <v>0.07554207484526786</v>
      </c>
      <c r="E101" s="138">
        <f t="shared" si="14"/>
        <v>0.07459933598393245</v>
      </c>
      <c r="F101" s="138">
        <f t="shared" si="15"/>
        <v>0.059547332495060175</v>
      </c>
      <c r="G101" s="138">
        <f t="shared" si="16"/>
        <v>0.07030267648643794</v>
      </c>
      <c r="H101" s="138">
        <f t="shared" si="17"/>
        <v>0.04446789797713281</v>
      </c>
      <c r="I101" s="138">
        <f t="shared" si="18"/>
        <v>0.03958223394898858</v>
      </c>
    </row>
    <row r="102" spans="1:9" ht="12.75">
      <c r="A102" s="39" t="s">
        <v>693</v>
      </c>
      <c r="B102" s="138">
        <f t="shared" si="11"/>
        <v>0.01774365614143864</v>
      </c>
      <c r="C102" s="138">
        <f t="shared" si="12"/>
        <v>0.0015227084150155462</v>
      </c>
      <c r="D102" s="138">
        <f t="shared" si="13"/>
        <v>0.07453102157369075</v>
      </c>
      <c r="E102" s="138">
        <f t="shared" si="14"/>
        <v>0.0895738547089123</v>
      </c>
      <c r="F102" s="138">
        <f t="shared" si="15"/>
        <v>0.029302137596551106</v>
      </c>
      <c r="G102" s="138">
        <f t="shared" si="16"/>
        <v>0.045828094126100234</v>
      </c>
      <c r="H102" s="138">
        <f t="shared" si="17"/>
        <v>0.038284960422163596</v>
      </c>
      <c r="I102" s="138">
        <f t="shared" si="18"/>
        <v>0.03854001759014952</v>
      </c>
    </row>
    <row r="103" spans="1:9" ht="12.75">
      <c r="A103" s="40" t="s">
        <v>565</v>
      </c>
      <c r="B103" s="138">
        <f t="shared" si="11"/>
        <v>0.00031913050614098274</v>
      </c>
      <c r="C103" s="138">
        <f t="shared" si="12"/>
        <v>0.00011853418799522216</v>
      </c>
      <c r="D103" s="138">
        <f t="shared" si="13"/>
        <v>0.002718913527619516</v>
      </c>
      <c r="E103" s="138">
        <f t="shared" si="14"/>
        <v>0.004016887322211747</v>
      </c>
      <c r="F103" s="138">
        <f t="shared" si="15"/>
        <v>0.0032333393209987428</v>
      </c>
      <c r="G103" s="138">
        <f t="shared" si="16"/>
        <v>0.003525238009700018</v>
      </c>
      <c r="H103" s="138">
        <f t="shared" si="17"/>
        <v>0.0016622691292875994</v>
      </c>
      <c r="I103" s="138">
        <f t="shared" si="18"/>
        <v>0.002040457343887423</v>
      </c>
    </row>
    <row r="106" spans="1:17" ht="18.75">
      <c r="A106" s="332" t="s">
        <v>621</v>
      </c>
      <c r="B106" s="333"/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</row>
    <row r="107" spans="1:17" ht="12.75">
      <c r="A107" s="334" t="s">
        <v>498</v>
      </c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</row>
    <row r="108" spans="1:17" ht="12.75">
      <c r="A108" s="333"/>
      <c r="B108" s="335" t="s">
        <v>230</v>
      </c>
      <c r="C108" s="335" t="s">
        <v>229</v>
      </c>
      <c r="D108" s="335" t="s">
        <v>228</v>
      </c>
      <c r="E108" s="335" t="s">
        <v>227</v>
      </c>
      <c r="F108" s="335" t="s">
        <v>226</v>
      </c>
      <c r="G108" s="335" t="s">
        <v>528</v>
      </c>
      <c r="H108" s="335" t="s">
        <v>117</v>
      </c>
      <c r="I108" s="335" t="s">
        <v>118</v>
      </c>
      <c r="J108" s="335" t="s">
        <v>119</v>
      </c>
      <c r="K108" s="335" t="s">
        <v>120</v>
      </c>
      <c r="L108" s="335" t="s">
        <v>31</v>
      </c>
      <c r="M108" s="335" t="s">
        <v>32</v>
      </c>
      <c r="N108" s="336"/>
      <c r="O108" s="336"/>
      <c r="P108" s="336"/>
      <c r="Q108" s="336"/>
    </row>
    <row r="109" spans="1:17" ht="12.75">
      <c r="A109" s="337" t="s">
        <v>121</v>
      </c>
      <c r="B109" s="340">
        <v>1102</v>
      </c>
      <c r="C109" s="340">
        <v>1441.1956884804526</v>
      </c>
      <c r="D109" s="340">
        <v>1545.8014424118458</v>
      </c>
      <c r="E109" s="340">
        <v>1698.6519219964116</v>
      </c>
      <c r="F109" s="340">
        <v>1787.188798285424</v>
      </c>
      <c r="G109" s="338">
        <v>1852.8145081640316</v>
      </c>
      <c r="H109" s="338">
        <v>1899.2922536049477</v>
      </c>
      <c r="I109" s="338">
        <v>1932.4385724069539</v>
      </c>
      <c r="J109" s="338">
        <v>1966.6250032786556</v>
      </c>
      <c r="K109" s="338">
        <v>2006.261272588974</v>
      </c>
      <c r="L109" s="338">
        <v>2045.801846590945</v>
      </c>
      <c r="M109" s="338">
        <v>2084.6662768818405</v>
      </c>
      <c r="N109" s="339"/>
      <c r="O109" s="339"/>
      <c r="P109" s="339"/>
      <c r="Q109" s="339"/>
    </row>
    <row r="110" s="108" customFormat="1" ht="12.75"/>
    <row r="111" spans="1:17" ht="18.75">
      <c r="A111" s="345" t="s">
        <v>30</v>
      </c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</row>
    <row r="112" spans="1:17" ht="12.75">
      <c r="A112" s="346" t="s">
        <v>498</v>
      </c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</row>
    <row r="113" spans="1:17" ht="12.75">
      <c r="A113" s="326"/>
      <c r="B113" s="347" t="s">
        <v>230</v>
      </c>
      <c r="C113" s="347" t="s">
        <v>229</v>
      </c>
      <c r="D113" s="347" t="s">
        <v>228</v>
      </c>
      <c r="E113" s="347" t="s">
        <v>227</v>
      </c>
      <c r="F113" s="347" t="s">
        <v>226</v>
      </c>
      <c r="G113" s="347" t="s">
        <v>528</v>
      </c>
      <c r="H113" s="347" t="s">
        <v>117</v>
      </c>
      <c r="I113" s="347" t="s">
        <v>118</v>
      </c>
      <c r="J113" s="347" t="s">
        <v>119</v>
      </c>
      <c r="K113" s="347" t="s">
        <v>120</v>
      </c>
      <c r="L113" s="347" t="s">
        <v>31</v>
      </c>
      <c r="M113" s="347" t="s">
        <v>32</v>
      </c>
      <c r="N113" s="347" t="s">
        <v>182</v>
      </c>
      <c r="O113" s="347" t="s">
        <v>33</v>
      </c>
      <c r="P113" s="347" t="s">
        <v>34</v>
      </c>
      <c r="Q113" s="347" t="s">
        <v>902</v>
      </c>
    </row>
    <row r="114" spans="1:17" ht="12.75">
      <c r="A114" s="348" t="s">
        <v>20</v>
      </c>
      <c r="B114" s="352">
        <v>0.959</v>
      </c>
      <c r="C114" s="352">
        <v>0.562</v>
      </c>
      <c r="D114" s="352">
        <v>0.562</v>
      </c>
      <c r="E114" s="352">
        <v>0.562</v>
      </c>
      <c r="F114" s="352">
        <v>0.562</v>
      </c>
      <c r="G114" s="352">
        <v>0.562</v>
      </c>
      <c r="H114" s="354">
        <v>0</v>
      </c>
      <c r="I114" s="354">
        <v>0</v>
      </c>
      <c r="J114" s="354">
        <v>0</v>
      </c>
      <c r="K114" s="354">
        <v>0</v>
      </c>
      <c r="L114" s="354">
        <v>0</v>
      </c>
      <c r="M114" s="354">
        <v>0</v>
      </c>
      <c r="N114" s="354">
        <v>0</v>
      </c>
      <c r="O114" s="354">
        <v>0</v>
      </c>
      <c r="P114" s="354">
        <v>0</v>
      </c>
      <c r="Q114" s="354">
        <v>0</v>
      </c>
    </row>
    <row r="115" spans="1:17" ht="12.75">
      <c r="A115" s="348"/>
      <c r="B115" s="349"/>
      <c r="C115" s="349"/>
      <c r="D115" s="349"/>
      <c r="E115" s="349"/>
      <c r="F115" s="349"/>
      <c r="G115" s="349"/>
      <c r="H115" s="350"/>
      <c r="I115" s="350"/>
      <c r="J115" s="350"/>
      <c r="K115" s="350"/>
      <c r="L115" s="350"/>
      <c r="M115" s="350"/>
      <c r="N115" s="351"/>
      <c r="O115" s="351"/>
      <c r="P115" s="351"/>
      <c r="Q115" s="351"/>
    </row>
    <row r="116" spans="1:17" ht="12.75">
      <c r="A116" s="348" t="s">
        <v>36</v>
      </c>
      <c r="B116" s="352">
        <v>0</v>
      </c>
      <c r="C116" s="352">
        <v>0.088</v>
      </c>
      <c r="D116" s="352">
        <v>0.414</v>
      </c>
      <c r="E116" s="352">
        <v>0.846</v>
      </c>
      <c r="F116" s="352">
        <v>1.044</v>
      </c>
      <c r="G116" s="352">
        <v>1.577</v>
      </c>
      <c r="H116" s="353">
        <v>1.35</v>
      </c>
      <c r="I116" s="353">
        <v>1.35</v>
      </c>
      <c r="J116" s="353">
        <v>1.35</v>
      </c>
      <c r="K116" s="353">
        <v>1.35</v>
      </c>
      <c r="L116" s="353">
        <v>1.35</v>
      </c>
      <c r="M116" s="353">
        <v>1.2479166666666666</v>
      </c>
      <c r="N116" s="353">
        <v>1.1458333333333335</v>
      </c>
      <c r="O116" s="353">
        <v>1.04375</v>
      </c>
      <c r="P116" s="353">
        <v>0.9416666666666667</v>
      </c>
      <c r="Q116" s="353">
        <v>0.8395833333333333</v>
      </c>
    </row>
    <row r="117" spans="1:17" ht="12.75">
      <c r="A117" s="475" t="s">
        <v>35</v>
      </c>
      <c r="B117" s="476">
        <v>0</v>
      </c>
      <c r="C117" s="476">
        <v>0.327</v>
      </c>
      <c r="D117" s="476">
        <v>0.956</v>
      </c>
      <c r="E117" s="476">
        <v>0.629</v>
      </c>
      <c r="F117" s="476">
        <v>0.642</v>
      </c>
      <c r="G117" s="476">
        <v>1.07</v>
      </c>
      <c r="H117" s="353">
        <v>1.35</v>
      </c>
      <c r="I117" s="353">
        <v>1.35</v>
      </c>
      <c r="J117" s="353">
        <v>1.35</v>
      </c>
      <c r="K117" s="353">
        <v>1.35</v>
      </c>
      <c r="L117" s="353">
        <v>1.35</v>
      </c>
      <c r="M117" s="353">
        <v>1.2479166666666666</v>
      </c>
      <c r="N117" s="353">
        <v>1.1458333333333335</v>
      </c>
      <c r="O117" s="353">
        <v>1.04375</v>
      </c>
      <c r="P117" s="353">
        <v>0.9416666666666667</v>
      </c>
      <c r="Q117" s="353">
        <v>0.8395833333333333</v>
      </c>
    </row>
    <row r="118" spans="1:17" ht="12.75">
      <c r="A118" s="348" t="s">
        <v>947</v>
      </c>
      <c r="B118" s="349"/>
      <c r="C118" s="477">
        <f>B118+C116-C117</f>
        <v>-0.23900000000000002</v>
      </c>
      <c r="D118" s="477">
        <f>C118+D116-D117</f>
        <v>-0.781</v>
      </c>
      <c r="E118" s="477">
        <f>D118+E116-E117</f>
        <v>-0.5640000000000001</v>
      </c>
      <c r="F118" s="477">
        <f>E118+F116-F117</f>
        <v>-0.16200000000000003</v>
      </c>
      <c r="G118" s="477">
        <f>F118+G116-G117</f>
        <v>0.345</v>
      </c>
      <c r="H118" s="350"/>
      <c r="I118" s="350"/>
      <c r="J118" s="350"/>
      <c r="K118" s="350"/>
      <c r="L118" s="350"/>
      <c r="M118" s="350"/>
      <c r="N118" s="351"/>
      <c r="O118" s="351"/>
      <c r="P118" s="351"/>
      <c r="Q118" s="351"/>
    </row>
    <row r="119" spans="1:17" ht="12.75">
      <c r="A119" s="348"/>
      <c r="B119" s="349"/>
      <c r="C119" s="349"/>
      <c r="D119" s="349"/>
      <c r="E119" s="349"/>
      <c r="F119" s="349"/>
      <c r="G119" s="349"/>
      <c r="H119" s="350"/>
      <c r="I119" s="350"/>
      <c r="J119" s="350"/>
      <c r="K119" s="350"/>
      <c r="L119" s="350"/>
      <c r="M119" s="350"/>
      <c r="N119" s="351"/>
      <c r="O119" s="351"/>
      <c r="P119" s="351"/>
      <c r="Q119" s="351"/>
    </row>
    <row r="120" spans="1:17" ht="12.75">
      <c r="A120" s="348" t="s">
        <v>37</v>
      </c>
      <c r="B120" s="352">
        <v>0</v>
      </c>
      <c r="C120" s="352">
        <f>C118*-1</f>
        <v>0.23900000000000002</v>
      </c>
      <c r="D120" s="352">
        <f>D118*-1</f>
        <v>0.781</v>
      </c>
      <c r="E120" s="352">
        <f>E118*-1</f>
        <v>0.5640000000000001</v>
      </c>
      <c r="F120" s="352">
        <f>F118*-1</f>
        <v>0.16200000000000003</v>
      </c>
      <c r="G120" s="352">
        <v>0</v>
      </c>
      <c r="H120" s="354">
        <v>0</v>
      </c>
      <c r="I120" s="354">
        <v>0</v>
      </c>
      <c r="J120" s="354">
        <v>0</v>
      </c>
      <c r="K120" s="354">
        <v>0</v>
      </c>
      <c r="L120" s="354">
        <v>0</v>
      </c>
      <c r="M120" s="354">
        <v>0</v>
      </c>
      <c r="N120" s="354">
        <v>0</v>
      </c>
      <c r="O120" s="354">
        <v>0</v>
      </c>
      <c r="P120" s="354">
        <v>0</v>
      </c>
      <c r="Q120" s="354">
        <v>0</v>
      </c>
    </row>
    <row r="121" spans="1:17" ht="12.75">
      <c r="A121" s="348" t="s">
        <v>38</v>
      </c>
      <c r="B121" s="352">
        <v>0</v>
      </c>
      <c r="C121" s="352">
        <v>0</v>
      </c>
      <c r="D121" s="352">
        <v>0</v>
      </c>
      <c r="E121" s="352">
        <v>0</v>
      </c>
      <c r="F121" s="352">
        <v>0</v>
      </c>
      <c r="G121" s="352">
        <f>G118</f>
        <v>0.345</v>
      </c>
      <c r="H121" s="354">
        <v>0</v>
      </c>
      <c r="I121" s="354">
        <v>0</v>
      </c>
      <c r="J121" s="354">
        <v>0</v>
      </c>
      <c r="K121" s="354">
        <v>0</v>
      </c>
      <c r="L121" s="354">
        <v>0</v>
      </c>
      <c r="M121" s="354">
        <v>0</v>
      </c>
      <c r="N121" s="354">
        <v>0</v>
      </c>
      <c r="O121" s="354">
        <v>0</v>
      </c>
      <c r="P121" s="354">
        <v>0</v>
      </c>
      <c r="Q121" s="354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N5 M1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57421875" style="0" customWidth="1"/>
    <col min="2" max="4" width="21.7109375" style="0" customWidth="1"/>
    <col min="5" max="6" width="10.7109375" style="0" customWidth="1"/>
    <col min="7" max="7" width="11.140625" style="0" customWidth="1"/>
  </cols>
  <sheetData>
    <row r="1" ht="18.75">
      <c r="A1" s="56" t="s">
        <v>614</v>
      </c>
    </row>
    <row r="2" ht="12.75" customHeight="1">
      <c r="A2" s="56"/>
    </row>
    <row r="3" spans="1:4" ht="15.75" customHeight="1">
      <c r="A3" s="57" t="s">
        <v>225</v>
      </c>
      <c r="B3" s="53" t="s">
        <v>608</v>
      </c>
      <c r="C3" s="54" t="s">
        <v>527</v>
      </c>
      <c r="D3" s="55" t="s">
        <v>526</v>
      </c>
    </row>
    <row r="4" ht="12.75">
      <c r="A4" s="44"/>
    </row>
    <row r="5" spans="1:6" ht="15.75" customHeight="1">
      <c r="A5" s="57" t="s">
        <v>231</v>
      </c>
      <c r="B5" s="221" t="s">
        <v>209</v>
      </c>
      <c r="F5" s="45"/>
    </row>
    <row r="6" spans="1:4" ht="12.75">
      <c r="A6" s="48" t="s">
        <v>232</v>
      </c>
      <c r="B6" s="2">
        <v>0.015</v>
      </c>
      <c r="C6" s="3">
        <v>0.015</v>
      </c>
      <c r="D6" s="4">
        <v>0.015</v>
      </c>
    </row>
    <row r="7" spans="1:4" ht="12.75">
      <c r="A7" s="48" t="s">
        <v>233</v>
      </c>
      <c r="B7" s="2">
        <v>0.02</v>
      </c>
      <c r="C7" s="3">
        <v>0.02</v>
      </c>
      <c r="D7" s="4">
        <v>0.02</v>
      </c>
    </row>
    <row r="8" spans="1:4" ht="12.75">
      <c r="A8" s="48" t="s">
        <v>603</v>
      </c>
      <c r="B8" s="2">
        <v>0.06</v>
      </c>
      <c r="C8" s="3">
        <v>0.06</v>
      </c>
      <c r="D8" s="4">
        <v>0.06</v>
      </c>
    </row>
    <row r="9" spans="1:4" ht="12.75">
      <c r="A9" s="48" t="s">
        <v>239</v>
      </c>
      <c r="B9" s="2">
        <v>0.046</v>
      </c>
      <c r="C9" s="3">
        <v>0.046</v>
      </c>
      <c r="D9" s="4">
        <v>0.046</v>
      </c>
    </row>
    <row r="10" spans="1:6" ht="13.5">
      <c r="A10" s="237" t="s">
        <v>584</v>
      </c>
      <c r="B10" s="221" t="s">
        <v>609</v>
      </c>
      <c r="F10" s="45"/>
    </row>
    <row r="11" spans="1:6" ht="13.5">
      <c r="A11" s="67"/>
      <c r="B11" s="221" t="s">
        <v>610</v>
      </c>
      <c r="F11" s="45"/>
    </row>
    <row r="12" spans="1:6" ht="13.5">
      <c r="A12" s="67"/>
      <c r="B12" s="221" t="s">
        <v>611</v>
      </c>
      <c r="F12" s="45"/>
    </row>
    <row r="13" spans="1:6" ht="12.75">
      <c r="A13" s="48" t="s">
        <v>233</v>
      </c>
      <c r="B13" s="2">
        <v>0.002</v>
      </c>
      <c r="C13" s="380">
        <v>0.002</v>
      </c>
      <c r="D13" s="381">
        <v>0.002</v>
      </c>
      <c r="F13" s="45"/>
    </row>
    <row r="14" spans="1:6" ht="12.75">
      <c r="A14" s="48" t="s">
        <v>603</v>
      </c>
      <c r="B14" s="2">
        <v>0.001</v>
      </c>
      <c r="C14" s="380">
        <v>0.001</v>
      </c>
      <c r="D14" s="381">
        <v>0.001</v>
      </c>
      <c r="F14" s="45"/>
    </row>
    <row r="15" spans="1:6" ht="12.75">
      <c r="A15" s="48" t="s">
        <v>239</v>
      </c>
      <c r="B15" s="2">
        <v>0.001</v>
      </c>
      <c r="C15" s="380">
        <v>0.001</v>
      </c>
      <c r="D15" s="381">
        <v>0.001</v>
      </c>
      <c r="F15" s="45"/>
    </row>
    <row r="16" spans="1:6" ht="12.75">
      <c r="A16" s="48"/>
      <c r="F16" s="45"/>
    </row>
    <row r="17" ht="15.75">
      <c r="A17" s="57" t="s">
        <v>234</v>
      </c>
    </row>
    <row r="18" spans="1:2" ht="13.5">
      <c r="A18" s="237" t="s">
        <v>177</v>
      </c>
      <c r="B18" s="221" t="s">
        <v>469</v>
      </c>
    </row>
    <row r="19" spans="1:2" ht="13.5">
      <c r="A19" s="67"/>
      <c r="B19" s="221" t="s">
        <v>202</v>
      </c>
    </row>
    <row r="20" spans="1:5" ht="13.5">
      <c r="A20" s="67"/>
      <c r="B20" s="221" t="s">
        <v>203</v>
      </c>
      <c r="E20" s="45"/>
    </row>
    <row r="21" spans="1:5" ht="12.75">
      <c r="A21" s="48" t="s">
        <v>178</v>
      </c>
      <c r="B21" s="211">
        <v>0.5</v>
      </c>
      <c r="C21" s="212">
        <v>0.5</v>
      </c>
      <c r="D21" s="213">
        <v>0.5</v>
      </c>
      <c r="E21" s="45"/>
    </row>
    <row r="22" spans="1:4" ht="12.75">
      <c r="A22" s="48" t="s">
        <v>179</v>
      </c>
      <c r="B22" s="211">
        <v>0.5</v>
      </c>
      <c r="C22" s="212">
        <v>0.5</v>
      </c>
      <c r="D22" s="213">
        <v>0.5</v>
      </c>
    </row>
    <row r="23" spans="1:2" ht="13.5">
      <c r="A23" s="237" t="s">
        <v>180</v>
      </c>
      <c r="B23" s="221" t="s">
        <v>204</v>
      </c>
    </row>
    <row r="24" spans="1:6" ht="12.75">
      <c r="A24" s="48" t="s">
        <v>235</v>
      </c>
      <c r="B24" s="5" t="s">
        <v>575</v>
      </c>
      <c r="C24" s="6" t="s">
        <v>575</v>
      </c>
      <c r="D24" s="7" t="s">
        <v>575</v>
      </c>
      <c r="F24" s="45"/>
    </row>
    <row r="25" spans="1:6" ht="12.75">
      <c r="A25" s="48" t="s">
        <v>607</v>
      </c>
      <c r="B25" s="428">
        <v>1.4</v>
      </c>
      <c r="C25" s="429">
        <v>1.4</v>
      </c>
      <c r="D25" s="430">
        <v>1.4</v>
      </c>
      <c r="F25" s="45"/>
    </row>
    <row r="26" spans="1:6" ht="12.75">
      <c r="A26" s="48" t="s">
        <v>669</v>
      </c>
      <c r="B26" s="206" t="s">
        <v>182</v>
      </c>
      <c r="C26" s="207" t="s">
        <v>182</v>
      </c>
      <c r="D26" s="208" t="s">
        <v>182</v>
      </c>
      <c r="F26" s="45"/>
    </row>
    <row r="27" spans="1:2" ht="13.5">
      <c r="A27" s="237" t="s">
        <v>633</v>
      </c>
      <c r="B27" s="221" t="s">
        <v>205</v>
      </c>
    </row>
    <row r="28" spans="1:2" ht="13.5">
      <c r="A28" s="67"/>
      <c r="B28" s="221" t="s">
        <v>206</v>
      </c>
    </row>
    <row r="29" spans="1:4" ht="12.75">
      <c r="A29" s="48" t="s">
        <v>181</v>
      </c>
      <c r="B29" s="5" t="s">
        <v>470</v>
      </c>
      <c r="C29" s="6" t="s">
        <v>470</v>
      </c>
      <c r="D29" s="7" t="s">
        <v>470</v>
      </c>
    </row>
    <row r="30" spans="1:2" ht="15.75" customHeight="1">
      <c r="A30" s="237" t="s">
        <v>167</v>
      </c>
      <c r="B30" s="221" t="s">
        <v>208</v>
      </c>
    </row>
    <row r="31" spans="1:4" ht="12.75">
      <c r="A31" s="48" t="s">
        <v>168</v>
      </c>
      <c r="B31" s="201">
        <v>1.694</v>
      </c>
      <c r="C31" s="202">
        <v>1.694</v>
      </c>
      <c r="D31" s="203">
        <v>1.694</v>
      </c>
    </row>
    <row r="32" spans="1:4" ht="12.75">
      <c r="A32" s="48" t="s">
        <v>169</v>
      </c>
      <c r="B32" s="8">
        <v>0.9</v>
      </c>
      <c r="C32" s="9">
        <v>0.9</v>
      </c>
      <c r="D32" s="10">
        <v>0.9</v>
      </c>
    </row>
    <row r="33" spans="1:8" ht="15.75" customHeight="1">
      <c r="A33" s="237" t="s">
        <v>170</v>
      </c>
      <c r="B33" s="221" t="s">
        <v>210</v>
      </c>
      <c r="H33" s="66"/>
    </row>
    <row r="34" spans="1:8" ht="15.75" customHeight="1">
      <c r="A34" s="67"/>
      <c r="B34" s="221" t="s">
        <v>173</v>
      </c>
      <c r="H34" s="66"/>
    </row>
    <row r="35" spans="1:8" ht="12.75">
      <c r="A35" s="48" t="s">
        <v>171</v>
      </c>
      <c r="B35" s="5" t="s">
        <v>556</v>
      </c>
      <c r="C35" s="6" t="s">
        <v>556</v>
      </c>
      <c r="D35" s="7" t="s">
        <v>556</v>
      </c>
      <c r="F35" s="45"/>
      <c r="H35" s="474"/>
    </row>
    <row r="36" spans="1:6" ht="12.75">
      <c r="A36" s="48" t="s">
        <v>172</v>
      </c>
      <c r="B36" s="5" t="s">
        <v>556</v>
      </c>
      <c r="C36" s="6" t="s">
        <v>556</v>
      </c>
      <c r="D36" s="7" t="s">
        <v>556</v>
      </c>
      <c r="F36" s="45"/>
    </row>
    <row r="37" spans="1:6" ht="15.75" customHeight="1">
      <c r="A37" s="237" t="s">
        <v>618</v>
      </c>
      <c r="B37" s="221" t="s">
        <v>211</v>
      </c>
      <c r="F37" s="45"/>
    </row>
    <row r="38" spans="1:6" ht="15.75" customHeight="1">
      <c r="A38" s="67"/>
      <c r="B38" s="221" t="s">
        <v>212</v>
      </c>
      <c r="F38" s="45"/>
    </row>
    <row r="39" spans="1:4" ht="12.75">
      <c r="A39" s="48" t="s">
        <v>597</v>
      </c>
      <c r="B39" s="5" t="s">
        <v>575</v>
      </c>
      <c r="C39" s="6" t="s">
        <v>575</v>
      </c>
      <c r="D39" s="7" t="s">
        <v>575</v>
      </c>
    </row>
    <row r="40" spans="1:4" ht="12.75">
      <c r="A40" s="47" t="s">
        <v>595</v>
      </c>
      <c r="B40" s="2">
        <v>0.65</v>
      </c>
      <c r="C40" s="3">
        <v>0.65</v>
      </c>
      <c r="D40" s="4">
        <v>0.65</v>
      </c>
    </row>
    <row r="41" spans="1:2" ht="15.75" customHeight="1">
      <c r="A41" s="237" t="s">
        <v>195</v>
      </c>
      <c r="B41" s="221" t="s">
        <v>213</v>
      </c>
    </row>
    <row r="42" spans="1:2" ht="15.75" customHeight="1">
      <c r="A42" s="67"/>
      <c r="B42" s="221" t="s">
        <v>214</v>
      </c>
    </row>
    <row r="43" spans="1:4" ht="12.75">
      <c r="A43" s="48" t="s">
        <v>197</v>
      </c>
      <c r="B43" s="5" t="s">
        <v>575</v>
      </c>
      <c r="C43" s="6" t="s">
        <v>575</v>
      </c>
      <c r="D43" s="7" t="s">
        <v>575</v>
      </c>
    </row>
    <row r="44" spans="1:4" ht="12.75">
      <c r="A44" s="48" t="s">
        <v>196</v>
      </c>
      <c r="B44" s="201">
        <v>0</v>
      </c>
      <c r="C44" s="202">
        <v>0</v>
      </c>
      <c r="D44" s="203">
        <v>0</v>
      </c>
    </row>
    <row r="45" spans="1:2" ht="13.5">
      <c r="A45" s="237" t="s">
        <v>898</v>
      </c>
      <c r="B45" s="221" t="s">
        <v>899</v>
      </c>
    </row>
    <row r="46" spans="1:4" ht="12.75">
      <c r="A46" s="48" t="s">
        <v>953</v>
      </c>
      <c r="B46" s="201">
        <v>6.355</v>
      </c>
      <c r="C46" s="202">
        <v>6.355</v>
      </c>
      <c r="D46" s="203">
        <v>6.355</v>
      </c>
    </row>
    <row r="47" spans="1:2" ht="13.5">
      <c r="A47" s="237" t="s">
        <v>959</v>
      </c>
      <c r="B47" s="221" t="s">
        <v>960</v>
      </c>
    </row>
    <row r="48" spans="1:4" ht="12.75">
      <c r="A48" s="48" t="s">
        <v>961</v>
      </c>
      <c r="B48" s="5" t="s">
        <v>576</v>
      </c>
      <c r="C48" s="6" t="s">
        <v>576</v>
      </c>
      <c r="D48" s="7" t="s">
        <v>576</v>
      </c>
    </row>
    <row r="49" spans="1:4" ht="12.75">
      <c r="A49" s="48" t="s">
        <v>962</v>
      </c>
      <c r="B49" s="5" t="s">
        <v>575</v>
      </c>
      <c r="C49" s="6" t="s">
        <v>575</v>
      </c>
      <c r="D49" s="7" t="s">
        <v>575</v>
      </c>
    </row>
    <row r="50" spans="1:4" ht="12.75">
      <c r="A50" s="48" t="s">
        <v>963</v>
      </c>
      <c r="B50" s="5" t="s">
        <v>576</v>
      </c>
      <c r="C50" s="6" t="s">
        <v>576</v>
      </c>
      <c r="D50" s="7" t="s">
        <v>576</v>
      </c>
    </row>
    <row r="51" spans="1:2" ht="13.5">
      <c r="A51" s="48"/>
      <c r="B51" s="221" t="s">
        <v>964</v>
      </c>
    </row>
    <row r="52" spans="1:2" ht="13.5">
      <c r="A52" s="48"/>
      <c r="B52" s="221" t="s">
        <v>965</v>
      </c>
    </row>
    <row r="53" spans="1:4" ht="12.75">
      <c r="A53" s="48" t="s">
        <v>966</v>
      </c>
      <c r="B53" s="2">
        <v>0.002</v>
      </c>
      <c r="C53" s="3">
        <v>0.002</v>
      </c>
      <c r="D53" s="4">
        <v>0.002</v>
      </c>
    </row>
    <row r="54" spans="1:4" ht="12.75">
      <c r="A54" s="48" t="s">
        <v>967</v>
      </c>
      <c r="B54" s="2">
        <v>0.134</v>
      </c>
      <c r="C54" s="3">
        <v>0.134</v>
      </c>
      <c r="D54" s="4">
        <v>0.134</v>
      </c>
    </row>
    <row r="55" spans="1:4" ht="12.75">
      <c r="A55" s="48" t="s">
        <v>968</v>
      </c>
      <c r="B55" s="2">
        <v>0.05</v>
      </c>
      <c r="C55" s="3">
        <v>0.05</v>
      </c>
      <c r="D55" s="4">
        <v>0.05</v>
      </c>
    </row>
    <row r="56" spans="1:4" ht="12.75">
      <c r="A56" s="48" t="s">
        <v>969</v>
      </c>
      <c r="B56" s="2">
        <v>0.124</v>
      </c>
      <c r="C56" s="3">
        <v>0.124</v>
      </c>
      <c r="D56" s="4">
        <v>0.124</v>
      </c>
    </row>
    <row r="57" spans="1:4" ht="12.75">
      <c r="A57" s="48"/>
      <c r="B57" s="48"/>
      <c r="C57" s="48"/>
      <c r="D57" s="48"/>
    </row>
    <row r="58" ht="15.75">
      <c r="A58" s="57" t="s">
        <v>8</v>
      </c>
    </row>
    <row r="59" spans="1:2" ht="13.5">
      <c r="A59" s="67" t="s">
        <v>9</v>
      </c>
      <c r="B59" s="221" t="s">
        <v>215</v>
      </c>
    </row>
    <row r="60" spans="1:2" ht="13.5">
      <c r="A60" s="67"/>
      <c r="B60" s="221" t="s">
        <v>216</v>
      </c>
    </row>
    <row r="61" spans="1:6" ht="12.75">
      <c r="A61" s="48" t="s">
        <v>10</v>
      </c>
      <c r="B61" s="5" t="s">
        <v>576</v>
      </c>
      <c r="C61" s="6" t="s">
        <v>576</v>
      </c>
      <c r="D61" s="7" t="s">
        <v>576</v>
      </c>
      <c r="F61" s="45"/>
    </row>
    <row r="62" spans="1:6" ht="12.75">
      <c r="A62" s="214" t="s">
        <v>11</v>
      </c>
      <c r="B62" s="211">
        <v>0.33</v>
      </c>
      <c r="C62" s="215">
        <v>0.33</v>
      </c>
      <c r="D62" s="213">
        <v>0.33</v>
      </c>
      <c r="F62" s="45"/>
    </row>
    <row r="63" spans="1:6" ht="12.75">
      <c r="A63" s="214" t="s">
        <v>12</v>
      </c>
      <c r="B63" s="211">
        <v>0.25</v>
      </c>
      <c r="C63" s="215">
        <v>0.25</v>
      </c>
      <c r="D63" s="213">
        <v>0.25</v>
      </c>
      <c r="F63" s="45"/>
    </row>
    <row r="64" spans="1:6" ht="13.5">
      <c r="A64" s="214"/>
      <c r="B64" s="221" t="s">
        <v>221</v>
      </c>
      <c r="C64" s="221"/>
      <c r="D64" s="221"/>
      <c r="F64" s="45"/>
    </row>
    <row r="65" spans="1:6" ht="12.75">
      <c r="A65" s="48" t="s">
        <v>746</v>
      </c>
      <c r="B65" s="5" t="s">
        <v>576</v>
      </c>
      <c r="C65" s="6" t="s">
        <v>576</v>
      </c>
      <c r="D65" s="7" t="s">
        <v>576</v>
      </c>
      <c r="F65" s="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customWidth="1"/>
    <col min="2" max="7" width="8.7109375" style="0" customWidth="1"/>
    <col min="8" max="8" width="16.28125" style="0" customWidth="1"/>
  </cols>
  <sheetData>
    <row r="1" spans="1:7" ht="14.25">
      <c r="A1" s="115" t="s">
        <v>944</v>
      </c>
      <c r="B1" s="179"/>
      <c r="F1" s="180">
        <v>2</v>
      </c>
      <c r="G1" s="115"/>
    </row>
    <row r="2" spans="1:7" ht="12.75">
      <c r="A2" s="181" t="s">
        <v>69</v>
      </c>
      <c r="B2" s="182">
        <f>F1</f>
        <v>2</v>
      </c>
      <c r="C2" s="183">
        <f>B$2+1</f>
        <v>3</v>
      </c>
      <c r="D2" s="183">
        <f>C$2+1</f>
        <v>4</v>
      </c>
      <c r="E2" s="183">
        <f>D$2+1</f>
        <v>5</v>
      </c>
      <c r="F2" s="183">
        <f>E$2+1</f>
        <v>6</v>
      </c>
      <c r="G2" s="183">
        <f>F$2+1</f>
        <v>7</v>
      </c>
    </row>
    <row r="3" spans="1:7" ht="15.75">
      <c r="A3" s="306" t="s">
        <v>70</v>
      </c>
      <c r="B3" s="307"/>
      <c r="C3" s="308"/>
      <c r="D3" s="308"/>
      <c r="E3" s="308"/>
      <c r="F3" s="308"/>
      <c r="G3" s="308"/>
    </row>
    <row r="4" spans="1:7" ht="12.75">
      <c r="A4" s="115" t="s">
        <v>71</v>
      </c>
      <c r="B4" s="184" t="str">
        <f ca="1">OFFSET(Data!$B$2,0,B$2)</f>
        <v>07/08</v>
      </c>
      <c r="C4" s="185" t="str">
        <f ca="1">OFFSET(Data!$B$2,0,C$2)</f>
        <v>08/09</v>
      </c>
      <c r="D4" s="185" t="str">
        <f ca="1">OFFSET(Data!$B$2,0,D$2)</f>
        <v>09/10 </v>
      </c>
      <c r="E4" s="185" t="str">
        <f ca="1">OFFSET(Data!$B$2,0,E$2)</f>
        <v>10/11</v>
      </c>
      <c r="F4" s="185" t="str">
        <f ca="1">OFFSET(Data!$B$2,0,F$2)</f>
        <v>11/12</v>
      </c>
      <c r="G4" s="185" t="str">
        <f ca="1">OFFSET(Data!$B$2,0,G$2)</f>
        <v>12/13</v>
      </c>
    </row>
    <row r="5" spans="1:11" ht="14.25">
      <c r="A5" s="186" t="s">
        <v>72</v>
      </c>
      <c r="B5" s="182"/>
      <c r="C5" s="183"/>
      <c r="D5" s="183"/>
      <c r="E5" s="183"/>
      <c r="F5" s="183"/>
      <c r="G5" s="183"/>
      <c r="I5" s="304"/>
      <c r="J5" s="304"/>
      <c r="K5" s="304"/>
    </row>
    <row r="6" spans="1:11" ht="14.25">
      <c r="A6" s="186" t="s">
        <v>73</v>
      </c>
      <c r="B6" s="182"/>
      <c r="C6" s="183"/>
      <c r="D6" s="183"/>
      <c r="E6" s="183"/>
      <c r="F6" s="183"/>
      <c r="G6" s="183"/>
      <c r="I6" s="304"/>
      <c r="J6" s="304"/>
      <c r="K6" s="304"/>
    </row>
    <row r="7" spans="1:11" ht="14.25">
      <c r="A7" s="186"/>
      <c r="B7" s="182"/>
      <c r="C7" s="183"/>
      <c r="D7" s="183"/>
      <c r="E7" s="183"/>
      <c r="F7" s="183"/>
      <c r="G7" s="183"/>
      <c r="I7" s="304"/>
      <c r="J7" s="304"/>
      <c r="K7" s="304"/>
    </row>
    <row r="8" spans="1:11" ht="14.25">
      <c r="A8" s="186" t="s">
        <v>74</v>
      </c>
      <c r="B8" s="182"/>
      <c r="C8" s="183"/>
      <c r="D8" s="183"/>
      <c r="E8" s="183"/>
      <c r="F8" s="183"/>
      <c r="G8" s="183"/>
      <c r="I8" s="304"/>
      <c r="J8" s="304"/>
      <c r="K8" s="304"/>
    </row>
    <row r="9" spans="1:11" ht="12.75">
      <c r="A9" s="74" t="s">
        <v>956</v>
      </c>
      <c r="B9" s="182"/>
      <c r="C9" s="187">
        <v>0</v>
      </c>
      <c r="D9" s="187">
        <v>0</v>
      </c>
      <c r="E9" s="187">
        <v>0</v>
      </c>
      <c r="F9" s="187">
        <v>0</v>
      </c>
      <c r="G9" s="187">
        <v>0</v>
      </c>
      <c r="H9" s="108"/>
      <c r="I9" s="304"/>
      <c r="J9" s="304"/>
      <c r="K9" s="304"/>
    </row>
    <row r="10" spans="1:11" ht="12.75">
      <c r="A10" s="74" t="s">
        <v>955</v>
      </c>
      <c r="B10" s="182"/>
      <c r="C10" s="187">
        <v>0</v>
      </c>
      <c r="D10" s="187">
        <v>0</v>
      </c>
      <c r="E10" s="187">
        <v>0</v>
      </c>
      <c r="F10" s="187">
        <v>0</v>
      </c>
      <c r="G10" s="187">
        <v>0</v>
      </c>
      <c r="H10" s="108"/>
      <c r="I10" s="304"/>
      <c r="J10" s="304"/>
      <c r="K10" s="304"/>
    </row>
    <row r="11" spans="1:11" ht="12.75">
      <c r="A11" s="74" t="s">
        <v>75</v>
      </c>
      <c r="B11" s="182"/>
      <c r="C11" s="187">
        <v>0</v>
      </c>
      <c r="D11" s="187">
        <v>0</v>
      </c>
      <c r="E11" s="187">
        <v>0</v>
      </c>
      <c r="F11" s="187">
        <v>0</v>
      </c>
      <c r="G11" s="187">
        <v>0</v>
      </c>
      <c r="H11" s="139"/>
      <c r="I11" s="304"/>
      <c r="J11" s="304"/>
      <c r="K11" s="304"/>
    </row>
    <row r="12" spans="1:12" ht="14.25">
      <c r="A12" s="186" t="s">
        <v>76</v>
      </c>
      <c r="B12" s="182"/>
      <c r="C12" s="183"/>
      <c r="D12" s="183"/>
      <c r="E12" s="183"/>
      <c r="F12" s="183"/>
      <c r="G12" s="183"/>
      <c r="H12" s="108"/>
      <c r="J12" s="304"/>
      <c r="K12" s="304"/>
      <c r="L12" s="304"/>
    </row>
    <row r="13" spans="1:11" ht="12.75">
      <c r="A13" s="74" t="s">
        <v>77</v>
      </c>
      <c r="B13" s="182"/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08"/>
      <c r="I13" s="304"/>
      <c r="J13" s="304"/>
      <c r="K13" s="304"/>
    </row>
    <row r="14" spans="1:11" ht="12.75">
      <c r="A14" s="74" t="s">
        <v>78</v>
      </c>
      <c r="B14" s="182"/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I14" s="304"/>
      <c r="J14" s="304"/>
      <c r="K14" s="304"/>
    </row>
    <row r="15" spans="1:11" ht="12.75">
      <c r="A15" s="74" t="s">
        <v>79</v>
      </c>
      <c r="B15" s="182"/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I15" s="365"/>
      <c r="J15" s="365"/>
      <c r="K15" s="304"/>
    </row>
    <row r="16" spans="1:11" ht="12.75">
      <c r="A16" s="181"/>
      <c r="B16" s="182"/>
      <c r="C16" s="183"/>
      <c r="D16" s="183"/>
      <c r="E16" s="183"/>
      <c r="F16" s="183"/>
      <c r="G16" s="183"/>
      <c r="I16" s="304"/>
      <c r="J16" s="304"/>
      <c r="K16" s="304"/>
    </row>
    <row r="17" spans="1:11" ht="12.75">
      <c r="A17" s="181"/>
      <c r="B17" s="182"/>
      <c r="C17" s="183"/>
      <c r="D17" s="183"/>
      <c r="E17" s="183"/>
      <c r="F17" s="183"/>
      <c r="G17" s="183"/>
      <c r="I17" s="304"/>
      <c r="J17" s="304"/>
      <c r="K17" s="304"/>
    </row>
    <row r="18" spans="1:11" ht="15.75">
      <c r="A18" s="309" t="s">
        <v>710</v>
      </c>
      <c r="B18" s="180"/>
      <c r="C18" s="310"/>
      <c r="D18" s="310"/>
      <c r="E18" s="310"/>
      <c r="F18" s="310"/>
      <c r="G18" s="310"/>
      <c r="I18" s="304"/>
      <c r="J18" s="304"/>
      <c r="K18" s="304"/>
    </row>
    <row r="19" spans="1:11" ht="12.75">
      <c r="A19" s="115" t="s">
        <v>71</v>
      </c>
      <c r="B19" s="184" t="str">
        <f ca="1">OFFSET(Data!$B$2,0,B$2)</f>
        <v>07/08</v>
      </c>
      <c r="C19" s="184" t="str">
        <f ca="1">OFFSET(Data!$B$2,0,C$2)</f>
        <v>08/09</v>
      </c>
      <c r="D19" s="184" t="str">
        <f ca="1">OFFSET(Data!$B$2,0,D$2)</f>
        <v>09/10 </v>
      </c>
      <c r="E19" s="184" t="str">
        <f ca="1">OFFSET(Data!$B$2,0,E$2)</f>
        <v>10/11</v>
      </c>
      <c r="F19" s="184" t="str">
        <f ca="1">OFFSET(Data!$B$2,0,F$2)</f>
        <v>11/12</v>
      </c>
      <c r="G19" s="184" t="str">
        <f ca="1">OFFSET(Data!$B$2,0,G$2)</f>
        <v>12/13</v>
      </c>
      <c r="I19" s="304"/>
      <c r="J19" s="304"/>
      <c r="K19" s="304"/>
    </row>
    <row r="20" spans="1:11" ht="12.75">
      <c r="A20" s="181"/>
      <c r="B20" s="182"/>
      <c r="C20" s="183"/>
      <c r="D20" s="183"/>
      <c r="E20" s="183"/>
      <c r="F20" s="183"/>
      <c r="G20" s="183"/>
      <c r="I20" s="304"/>
      <c r="J20" s="304"/>
      <c r="K20" s="304"/>
    </row>
    <row r="21" spans="1:11" ht="14.25">
      <c r="A21" s="311" t="s">
        <v>80</v>
      </c>
      <c r="B21" s="188" t="s">
        <v>612</v>
      </c>
      <c r="C21" s="172"/>
      <c r="D21" s="172"/>
      <c r="E21" s="172"/>
      <c r="F21" s="172"/>
      <c r="G21" s="172"/>
      <c r="I21" s="304"/>
      <c r="J21" s="304"/>
      <c r="K21" s="304"/>
    </row>
    <row r="22" spans="1:10" ht="12.75">
      <c r="A22" s="74" t="s">
        <v>532</v>
      </c>
      <c r="B22" s="312">
        <f ca="1">OFFSET(Data!$A$205,0,B$2+1)</f>
        <v>134.60788961964735</v>
      </c>
      <c r="C22" s="431">
        <f ca="1">OFFSET(Data!$A$205,0,C$2+1)</f>
        <v>134.8398687425332</v>
      </c>
      <c r="D22" s="431">
        <f ca="1">OFFSET(Data!$A$205,0,D$2+1)</f>
        <v>137.931742601089</v>
      </c>
      <c r="E22" s="431">
        <f ca="1">OFFSET(Data!$A$205,0,E$2+1)</f>
        <v>142.60943094334755</v>
      </c>
      <c r="F22" s="431">
        <f ca="1">OFFSET(Data!$A$205,0,F$2+1)</f>
        <v>147.4449609185727</v>
      </c>
      <c r="G22" s="431">
        <f ca="1">OFFSET(Data!$A$205,0,G$2+1)</f>
        <v>151.97579280481264</v>
      </c>
      <c r="I22" s="365"/>
      <c r="J22" s="365"/>
    </row>
    <row r="23" spans="1:10" ht="12.75">
      <c r="A23" s="74" t="s">
        <v>555</v>
      </c>
      <c r="B23" s="312">
        <f ca="1">OFFSET(Data!$A$206,0,B$2+1)</f>
        <v>180.0773001920602</v>
      </c>
      <c r="C23" s="431">
        <f ca="1">OFFSET(Data!$A$206,0,C$2+1)</f>
        <v>184.3896229064544</v>
      </c>
      <c r="D23" s="431">
        <f ca="1">OFFSET(Data!$A$206,0,D$2+1)</f>
        <v>190.71261622062738</v>
      </c>
      <c r="E23" s="431">
        <f ca="1">OFFSET(Data!$A$206,0,E$2+1)</f>
        <v>199.88097132242692</v>
      </c>
      <c r="F23" s="431">
        <f ca="1">OFFSET(Data!$A$206,0,F$2+1)</f>
        <v>210.20457981796744</v>
      </c>
      <c r="G23" s="431">
        <f ca="1">OFFSET(Data!$A$206,0,G$2+1)</f>
        <v>220.57390730090705</v>
      </c>
      <c r="I23" s="304"/>
      <c r="J23" s="304"/>
    </row>
    <row r="24" spans="1:10" ht="12.75">
      <c r="A24" s="74" t="s">
        <v>556</v>
      </c>
      <c r="B24" s="312">
        <f ca="1">OFFSET(Data!$A$207,0,B$2+1)</f>
        <v>1061</v>
      </c>
      <c r="C24" s="431">
        <f ca="1">OFFSET(Data!$A$207,0,C$2+1)</f>
        <v>1097.159</v>
      </c>
      <c r="D24" s="431">
        <f ca="1">OFFSET(Data!$A$207,0,D$2+1)</f>
        <v>1121.972</v>
      </c>
      <c r="E24" s="431">
        <f ca="1">OFFSET(Data!$A$207,0,E$2+1)</f>
        <v>1148.946</v>
      </c>
      <c r="F24" s="431">
        <f ca="1">OFFSET(Data!$A$207,0,F$2+1)</f>
        <v>1177.13</v>
      </c>
      <c r="G24" s="431">
        <f ca="1">OFFSET(Data!$A$207,0,G$2+1)</f>
        <v>1205.625</v>
      </c>
      <c r="I24" s="304"/>
      <c r="J24" s="304"/>
    </row>
    <row r="25" spans="1:10" ht="12.75">
      <c r="A25" s="74" t="s">
        <v>81</v>
      </c>
      <c r="B25" s="513">
        <f ca="1">OFFSET(Data!$A$208,0,B$2+1)</f>
        <v>0.06440033333333334</v>
      </c>
      <c r="C25" s="514">
        <f ca="1">OFFSET(Data!$A$208,0,C$2+1)</f>
        <v>0.063</v>
      </c>
      <c r="D25" s="514">
        <f ca="1">OFFSET(Data!$A$208,0,D$2+1)</f>
        <v>0.063</v>
      </c>
      <c r="E25" s="514">
        <f ca="1">OFFSET(Data!$A$208,0,E$2+1)</f>
        <v>0.062</v>
      </c>
      <c r="F25" s="514">
        <f ca="1">OFFSET(Data!$A$208,0,F$2+1)</f>
        <v>0.0605</v>
      </c>
      <c r="G25" s="514">
        <f ca="1">OFFSET(Data!$A$208,0,G$2+1)</f>
        <v>0.06</v>
      </c>
      <c r="I25" s="304"/>
      <c r="J25" s="304"/>
    </row>
    <row r="26" spans="1:10" ht="12.75">
      <c r="A26" s="74" t="s">
        <v>558</v>
      </c>
      <c r="B26" s="513">
        <f ca="1">OFFSET(Data!$A$210,0,B$2+1)</f>
        <v>0.036</v>
      </c>
      <c r="C26" s="514">
        <f ca="1">OFFSET(Data!$A$210,0,C$2+1)</f>
        <v>0.043</v>
      </c>
      <c r="D26" s="514">
        <f ca="1">OFFSET(Data!$A$210,0,D$2+1)</f>
        <v>0.05</v>
      </c>
      <c r="E26" s="514">
        <f ca="1">OFFSET(Data!$A$210,0,E$2+1)</f>
        <v>0.051</v>
      </c>
      <c r="F26" s="514">
        <f ca="1">OFFSET(Data!$A$210,0,F$2+1)</f>
        <v>0.049</v>
      </c>
      <c r="G26" s="514">
        <f ca="1">OFFSET(Data!$A$210,0,G$2+1)</f>
        <v>0.046</v>
      </c>
      <c r="I26" s="304"/>
      <c r="J26" s="304"/>
    </row>
    <row r="27" spans="1:10" ht="12.75">
      <c r="A27" s="74" t="s">
        <v>664</v>
      </c>
      <c r="B27" s="313">
        <f ca="1">OFFSET(Data!$A$213,0,B$2+1)</f>
        <v>0.045050055617352536</v>
      </c>
      <c r="C27" s="314">
        <f ca="1">OFFSET(Data!$A$213,0,C$2+1)</f>
        <v>0.05373624325715176</v>
      </c>
      <c r="D27" s="314">
        <f ca="1">OFFSET(Data!$A$213,0,D$2+1)</f>
        <v>0.04090893563117626</v>
      </c>
      <c r="E27" s="314">
        <f ca="1">OFFSET(Data!$A$213,0,E$2+1)</f>
        <v>0.03980505510908294</v>
      </c>
      <c r="F27" s="314">
        <f ca="1">OFFSET(Data!$A$213,0,F$2+1)</f>
        <v>0.0373937743803614</v>
      </c>
      <c r="G27" s="314">
        <f ca="1">OFFSET(Data!$A$213,0,G$2+1)</f>
        <v>0.03474610910742859</v>
      </c>
      <c r="I27" s="304"/>
      <c r="J27" s="304"/>
    </row>
    <row r="28" spans="1:7" ht="12.75">
      <c r="A28" s="74" t="s">
        <v>544</v>
      </c>
      <c r="B28" s="313">
        <v>0.0263</v>
      </c>
      <c r="C28" s="314">
        <f>C24/B24-1</f>
        <v>0.03408011310084835</v>
      </c>
      <c r="D28" s="314">
        <f>D24/C24-1</f>
        <v>0.022615682868207587</v>
      </c>
      <c r="E28" s="314">
        <f>E24/D24-1</f>
        <v>0.024041598186050894</v>
      </c>
      <c r="F28" s="314">
        <f>F24/E24-1</f>
        <v>0.024530308648100352</v>
      </c>
      <c r="G28" s="314">
        <f>G24/F24-1</f>
        <v>0.02420718187455928</v>
      </c>
    </row>
    <row r="29" spans="1:7" ht="12.75">
      <c r="A29" s="74"/>
      <c r="B29" s="74"/>
      <c r="C29" s="74"/>
      <c r="D29" s="74"/>
      <c r="E29" s="74"/>
      <c r="F29" s="74"/>
      <c r="G29" s="74"/>
    </row>
    <row r="30" spans="1:7" ht="14.25">
      <c r="A30" s="188" t="s">
        <v>82</v>
      </c>
      <c r="B30" s="107"/>
      <c r="C30" s="119"/>
      <c r="D30" s="119"/>
      <c r="E30" s="119"/>
      <c r="F30" s="119"/>
      <c r="G30" s="119"/>
    </row>
    <row r="31" spans="1:7" ht="14.25">
      <c r="A31" s="188" t="s">
        <v>83</v>
      </c>
      <c r="B31" s="107"/>
      <c r="C31" s="119"/>
      <c r="D31" s="119"/>
      <c r="E31" s="119"/>
      <c r="F31" s="119"/>
      <c r="G31" s="119"/>
    </row>
    <row r="32" spans="1:7" ht="14.25">
      <c r="A32" s="188" t="s">
        <v>84</v>
      </c>
      <c r="B32" s="189"/>
      <c r="C32" s="172"/>
      <c r="D32" s="172"/>
      <c r="E32" s="172"/>
      <c r="F32" s="172"/>
      <c r="G32" s="172"/>
    </row>
    <row r="33" spans="1:7" ht="14.25">
      <c r="A33" s="190" t="s">
        <v>567</v>
      </c>
      <c r="B33" s="184" t="str">
        <f aca="true" t="shared" si="0" ref="B33:G33">B$19</f>
        <v>07/08</v>
      </c>
      <c r="C33" s="185" t="str">
        <f t="shared" si="0"/>
        <v>08/09</v>
      </c>
      <c r="D33" s="185" t="str">
        <f t="shared" si="0"/>
        <v>09/10 </v>
      </c>
      <c r="E33" s="185" t="str">
        <f t="shared" si="0"/>
        <v>10/11</v>
      </c>
      <c r="F33" s="185" t="str">
        <f t="shared" si="0"/>
        <v>11/12</v>
      </c>
      <c r="G33" s="185" t="str">
        <f t="shared" si="0"/>
        <v>12/13</v>
      </c>
    </row>
    <row r="34" spans="1:7" ht="12.75">
      <c r="A34" s="74" t="s">
        <v>532</v>
      </c>
      <c r="B34" s="312">
        <f aca="true" t="shared" si="1" ref="B34:C39">B22</f>
        <v>134.60788961964735</v>
      </c>
      <c r="C34" s="191">
        <f t="shared" si="1"/>
        <v>134.8398687425332</v>
      </c>
      <c r="D34" s="191">
        <f aca="true" t="shared" si="2" ref="D34:G36">D22</f>
        <v>137.931742601089</v>
      </c>
      <c r="E34" s="191">
        <f t="shared" si="2"/>
        <v>142.60943094334755</v>
      </c>
      <c r="F34" s="191">
        <f t="shared" si="2"/>
        <v>147.4449609185727</v>
      </c>
      <c r="G34" s="191">
        <f t="shared" si="2"/>
        <v>151.97579280481264</v>
      </c>
    </row>
    <row r="35" spans="1:7" ht="12.75">
      <c r="A35" s="74" t="s">
        <v>555</v>
      </c>
      <c r="B35" s="312">
        <f t="shared" si="1"/>
        <v>180.0773001920602</v>
      </c>
      <c r="C35" s="191">
        <f>C23</f>
        <v>184.3896229064544</v>
      </c>
      <c r="D35" s="191">
        <f t="shared" si="2"/>
        <v>190.71261622062738</v>
      </c>
      <c r="E35" s="191">
        <f t="shared" si="2"/>
        <v>199.88097132242692</v>
      </c>
      <c r="F35" s="191">
        <f t="shared" si="2"/>
        <v>210.20457981796744</v>
      </c>
      <c r="G35" s="191">
        <f t="shared" si="2"/>
        <v>220.57390730090705</v>
      </c>
    </row>
    <row r="36" spans="1:7" ht="12.75">
      <c r="A36" s="74" t="s">
        <v>556</v>
      </c>
      <c r="B36" s="315">
        <f t="shared" si="1"/>
        <v>1061</v>
      </c>
      <c r="C36" s="191">
        <f>C24</f>
        <v>1097.159</v>
      </c>
      <c r="D36" s="191">
        <f t="shared" si="2"/>
        <v>1121.972</v>
      </c>
      <c r="E36" s="191">
        <f t="shared" si="2"/>
        <v>1148.946</v>
      </c>
      <c r="F36" s="191">
        <f t="shared" si="2"/>
        <v>1177.13</v>
      </c>
      <c r="G36" s="191">
        <f t="shared" si="2"/>
        <v>1205.625</v>
      </c>
    </row>
    <row r="37" spans="1:7" ht="12.75">
      <c r="A37" s="74" t="s">
        <v>81</v>
      </c>
      <c r="B37" s="312">
        <f t="shared" si="1"/>
        <v>0.06440033333333334</v>
      </c>
      <c r="C37" s="325">
        <f t="shared" si="1"/>
        <v>0.063</v>
      </c>
      <c r="D37" s="325">
        <f aca="true" t="shared" si="3" ref="D37:G39">D25</f>
        <v>0.063</v>
      </c>
      <c r="E37" s="325">
        <f t="shared" si="3"/>
        <v>0.062</v>
      </c>
      <c r="F37" s="325">
        <f t="shared" si="3"/>
        <v>0.0605</v>
      </c>
      <c r="G37" s="325">
        <f t="shared" si="3"/>
        <v>0.06</v>
      </c>
    </row>
    <row r="38" spans="1:7" ht="12.75">
      <c r="A38" s="74" t="s">
        <v>558</v>
      </c>
      <c r="B38" s="312">
        <f t="shared" si="1"/>
        <v>0.036</v>
      </c>
      <c r="C38" s="325">
        <f t="shared" si="1"/>
        <v>0.043</v>
      </c>
      <c r="D38" s="325">
        <f t="shared" si="3"/>
        <v>0.05</v>
      </c>
      <c r="E38" s="325">
        <f t="shared" si="3"/>
        <v>0.051</v>
      </c>
      <c r="F38" s="325">
        <f t="shared" si="3"/>
        <v>0.049</v>
      </c>
      <c r="G38" s="325">
        <f t="shared" si="3"/>
        <v>0.046</v>
      </c>
    </row>
    <row r="39" spans="1:7" ht="12.75">
      <c r="A39" s="74" t="s">
        <v>664</v>
      </c>
      <c r="B39" s="313">
        <f t="shared" si="1"/>
        <v>0.045050055617352536</v>
      </c>
      <c r="C39" s="325">
        <f t="shared" si="1"/>
        <v>0.05373624325715176</v>
      </c>
      <c r="D39" s="325">
        <f t="shared" si="3"/>
        <v>0.04090893563117626</v>
      </c>
      <c r="E39" s="325">
        <f t="shared" si="3"/>
        <v>0.03980505510908294</v>
      </c>
      <c r="F39" s="325">
        <f t="shared" si="3"/>
        <v>0.0373937743803614</v>
      </c>
      <c r="G39" s="325">
        <f t="shared" si="3"/>
        <v>0.03474610910742859</v>
      </c>
    </row>
    <row r="40" spans="1:7" ht="12.75">
      <c r="A40" s="74"/>
      <c r="B40" s="107"/>
      <c r="C40" s="516" t="str">
        <f>IF(AND(ROUND(SUM($C$35:$G$35)-SUM($C$23:$G$23)=0,2),ROUND(SUM($C$38:$G$38)-SUM($C$26:$G$26)&lt;&gt;0,2)),"WARNING: The Unemployment Rate track has been changed without adjusting the Nominal GDP track. Is this appropriate?"," ")</f>
        <v> </v>
      </c>
      <c r="D40" s="517"/>
      <c r="E40" s="517"/>
      <c r="F40" s="517"/>
      <c r="G40" s="517"/>
    </row>
    <row r="41" spans="1:7" ht="12.75">
      <c r="A41" s="74"/>
      <c r="B41" s="107"/>
      <c r="C41" s="517"/>
      <c r="D41" s="517"/>
      <c r="E41" s="517"/>
      <c r="F41" s="517"/>
      <c r="G41" s="517"/>
    </row>
    <row r="42" spans="1:7" ht="12.75">
      <c r="A42" s="74"/>
      <c r="B42" s="107"/>
      <c r="C42" s="517"/>
      <c r="D42" s="517"/>
      <c r="E42" s="517"/>
      <c r="F42" s="517"/>
      <c r="G42" s="517"/>
    </row>
    <row r="43" spans="1:7" ht="12.75">
      <c r="A43" s="74"/>
      <c r="B43" s="107"/>
      <c r="C43" s="305"/>
      <c r="D43" s="305"/>
      <c r="E43" s="305"/>
      <c r="F43" s="305"/>
      <c r="G43" s="305"/>
    </row>
    <row r="44" spans="1:7" ht="15">
      <c r="A44" s="192" t="s">
        <v>85</v>
      </c>
      <c r="B44" s="186" t="s">
        <v>86</v>
      </c>
      <c r="C44" s="74"/>
      <c r="D44" s="74"/>
      <c r="E44" s="104"/>
      <c r="F44" s="74"/>
      <c r="G44" s="104"/>
    </row>
    <row r="45" spans="1:7" ht="14.25">
      <c r="A45" s="316" t="s">
        <v>87</v>
      </c>
      <c r="B45" s="184" t="str">
        <f aca="true" t="shared" si="4" ref="B45:G45">B$19</f>
        <v>07/08</v>
      </c>
      <c r="C45" s="185" t="str">
        <f t="shared" si="4"/>
        <v>08/09</v>
      </c>
      <c r="D45" s="185" t="str">
        <f t="shared" si="4"/>
        <v>09/10 </v>
      </c>
      <c r="E45" s="185" t="str">
        <f t="shared" si="4"/>
        <v>10/11</v>
      </c>
      <c r="F45" s="185" t="str">
        <f t="shared" si="4"/>
        <v>11/12</v>
      </c>
      <c r="G45" s="185" t="str">
        <f t="shared" si="4"/>
        <v>12/13</v>
      </c>
    </row>
    <row r="46" spans="1:7" ht="12.75">
      <c r="A46" s="74" t="s">
        <v>533</v>
      </c>
      <c r="B46" s="317"/>
      <c r="C46" s="318">
        <f>C$35/B$35-1</f>
        <v>0.02394706445395922</v>
      </c>
      <c r="D46" s="318">
        <f>D$35/C$35-1</f>
        <v>0.03429148134535098</v>
      </c>
      <c r="E46" s="318">
        <f>E$35/D$35-1</f>
        <v>0.04807419290600601</v>
      </c>
      <c r="F46" s="318">
        <f>F$35/E$35-1</f>
        <v>0.05164878090815139</v>
      </c>
      <c r="G46" s="318">
        <f>G$35/F$35-1</f>
        <v>0.04932969344397353</v>
      </c>
    </row>
    <row r="47" spans="1:7" ht="12.75">
      <c r="A47" s="74" t="s">
        <v>88</v>
      </c>
      <c r="B47" s="317"/>
      <c r="C47" s="318">
        <f>C$35/C$23-1</f>
        <v>0</v>
      </c>
      <c r="D47" s="318">
        <f>D$35/D$23-1</f>
        <v>0</v>
      </c>
      <c r="E47" s="318">
        <f>E$35/E$23-1</f>
        <v>0</v>
      </c>
      <c r="F47" s="318">
        <f>F$35/F$23-1</f>
        <v>0</v>
      </c>
      <c r="G47" s="318">
        <f>G$35/G$23-1</f>
        <v>0</v>
      </c>
    </row>
    <row r="48" spans="1:7" ht="12.75">
      <c r="A48" s="74" t="s">
        <v>89</v>
      </c>
      <c r="B48" s="317"/>
      <c r="C48" s="318">
        <f>C$35/B$35-C$23/B$23</f>
        <v>0</v>
      </c>
      <c r="D48" s="318">
        <f>D$35/C$35-D$23/C$23</f>
        <v>0</v>
      </c>
      <c r="E48" s="318">
        <f>E$35/D$35-E$23/D$23</f>
        <v>0</v>
      </c>
      <c r="F48" s="318">
        <f>F$35/E$35-F$23/E$23</f>
        <v>0</v>
      </c>
      <c r="G48" s="318">
        <f>G$35/F$35-G$23/F$23</f>
        <v>0</v>
      </c>
    </row>
    <row r="49" spans="1:7" ht="12.75">
      <c r="A49" s="74" t="s">
        <v>90</v>
      </c>
      <c r="B49" s="301"/>
      <c r="C49" s="318">
        <f>C$55*(C$38/C$26-1)</f>
        <v>0</v>
      </c>
      <c r="D49" s="318">
        <f>D$55*(D$38/D$26-1)</f>
        <v>0</v>
      </c>
      <c r="E49" s="318">
        <f>E$55*(E$38/E$26-1)</f>
        <v>0</v>
      </c>
      <c r="F49" s="318">
        <f>F$55*(F$38/F$26-1)</f>
        <v>0</v>
      </c>
      <c r="G49" s="318">
        <f>G$55*(G$38/G$26-1)</f>
        <v>0</v>
      </c>
    </row>
    <row r="50" spans="1:7" ht="12.75">
      <c r="A50" s="74" t="s">
        <v>91</v>
      </c>
      <c r="B50" s="301"/>
      <c r="C50" s="318">
        <f>C$36/B$36-C$24/B$24</f>
        <v>0</v>
      </c>
      <c r="D50" s="318">
        <f>D$36/C$36-D$24/C$24</f>
        <v>0</v>
      </c>
      <c r="E50" s="318">
        <f>E$36/D$36-E$24/D$24</f>
        <v>0</v>
      </c>
      <c r="F50" s="318">
        <f>F$36/E$36-F$24/E$24</f>
        <v>0</v>
      </c>
      <c r="G50" s="318">
        <f>G$36/F$36-G$24/F$24</f>
        <v>0</v>
      </c>
    </row>
    <row r="51" spans="1:7" ht="12.75">
      <c r="A51" s="74" t="s">
        <v>534</v>
      </c>
      <c r="B51" s="318">
        <f>B$28</f>
        <v>0.0263</v>
      </c>
      <c r="C51" s="318">
        <f>C$28*C$36/C$24</f>
        <v>0.03408011310084835</v>
      </c>
      <c r="D51" s="318">
        <f>D$28*D$36/D$24</f>
        <v>0.022615682868207587</v>
      </c>
      <c r="E51" s="318">
        <f>E$28*E$36/E$24</f>
        <v>0.024041598186050894</v>
      </c>
      <c r="F51" s="318">
        <f>F$28*F$36/F$24</f>
        <v>0.024530308648100352</v>
      </c>
      <c r="G51" s="318">
        <f>G$28*G$36/G$24</f>
        <v>0.02420718187455928</v>
      </c>
    </row>
    <row r="52" spans="1:7" ht="12.75">
      <c r="A52" s="74" t="s">
        <v>92</v>
      </c>
      <c r="B52" s="317"/>
      <c r="C52" s="300">
        <f>(1+0.75*B$51+0.25*C$51)/(1+0.75*B$28+0.25*C$28)</f>
        <v>1</v>
      </c>
      <c r="D52" s="300">
        <f>(1+0.75*C$36+0.25*D$36)/(1+0.75*C$24+0.25*D$24)</f>
        <v>1</v>
      </c>
      <c r="E52" s="300">
        <f>(1+0.75*D$36+0.25*E$36)/(1+0.75*D$24+0.25*E$24)</f>
        <v>1</v>
      </c>
      <c r="F52" s="300">
        <f>(1+0.75*E$36+0.25*F$36)/(1+0.75*E$24+0.25*F$24)</f>
        <v>1</v>
      </c>
      <c r="G52" s="300">
        <f>(1+0.75*F$36+0.25*G$36)/(1+0.75*F$24+0.25*G$24)</f>
        <v>1</v>
      </c>
    </row>
    <row r="53" spans="1:7" ht="12.75">
      <c r="A53" s="74" t="s">
        <v>93</v>
      </c>
      <c r="B53" s="317"/>
      <c r="C53" s="319">
        <f>100*(C$37-C$25)</f>
        <v>0</v>
      </c>
      <c r="D53" s="319">
        <f>100*(D$37-D$25)</f>
        <v>0</v>
      </c>
      <c r="E53" s="319">
        <f>100*(E$37-E$25)</f>
        <v>0</v>
      </c>
      <c r="F53" s="319">
        <f>100*(F$37-F$25)</f>
        <v>0</v>
      </c>
      <c r="G53" s="319">
        <f>100*(G$37-G$25)</f>
        <v>0</v>
      </c>
    </row>
    <row r="54" spans="1:7" ht="12.75">
      <c r="A54" s="74" t="s">
        <v>94</v>
      </c>
      <c r="B54" s="317"/>
      <c r="C54" s="318">
        <f>C$39-C$27</f>
        <v>0</v>
      </c>
      <c r="D54" s="318">
        <f>D$39-D$27</f>
        <v>0</v>
      </c>
      <c r="E54" s="318">
        <f>E$39-E$27</f>
        <v>0</v>
      </c>
      <c r="F54" s="318">
        <f>F$39-F$27</f>
        <v>0</v>
      </c>
      <c r="G54" s="318">
        <f>G$39-G$27</f>
        <v>0</v>
      </c>
    </row>
    <row r="55" spans="1:7" ht="12.75">
      <c r="A55" s="74" t="s">
        <v>102</v>
      </c>
      <c r="B55" s="317"/>
      <c r="C55" s="320">
        <v>0.65</v>
      </c>
      <c r="D55" s="320">
        <v>0.65</v>
      </c>
      <c r="E55" s="320">
        <v>0.65</v>
      </c>
      <c r="F55" s="320">
        <v>0.65</v>
      </c>
      <c r="G55" s="320">
        <v>0.65</v>
      </c>
    </row>
    <row r="56" spans="1:7" ht="12.75">
      <c r="A56" s="74"/>
      <c r="B56" s="74"/>
      <c r="C56" s="193"/>
      <c r="D56" s="193"/>
      <c r="E56" s="193"/>
      <c r="F56" s="193"/>
      <c r="G56" s="193"/>
    </row>
    <row r="57" spans="1:2" ht="15">
      <c r="A57" s="194" t="s">
        <v>670</v>
      </c>
      <c r="B57" s="186"/>
    </row>
    <row r="58" spans="1:7" ht="14.25">
      <c r="A58" s="186" t="s">
        <v>95</v>
      </c>
      <c r="C58" s="104"/>
      <c r="D58" s="104"/>
      <c r="E58" s="104"/>
      <c r="F58" s="104"/>
      <c r="G58" s="104"/>
    </row>
    <row r="59" spans="2:7" ht="12.75">
      <c r="B59" s="184" t="str">
        <f aca="true" t="shared" si="5" ref="B59:G59">B$19</f>
        <v>07/08</v>
      </c>
      <c r="C59" s="185" t="str">
        <f t="shared" si="5"/>
        <v>08/09</v>
      </c>
      <c r="D59" s="185" t="str">
        <f t="shared" si="5"/>
        <v>09/10 </v>
      </c>
      <c r="E59" s="185" t="str">
        <f t="shared" si="5"/>
        <v>10/11</v>
      </c>
      <c r="F59" s="185" t="str">
        <f t="shared" si="5"/>
        <v>11/12</v>
      </c>
      <c r="G59" s="185" t="str">
        <f t="shared" si="5"/>
        <v>12/13</v>
      </c>
    </row>
    <row r="60" spans="1:7" ht="14.25">
      <c r="A60" s="186" t="s">
        <v>96</v>
      </c>
      <c r="B60" s="184"/>
      <c r="C60" s="185"/>
      <c r="D60" s="185"/>
      <c r="E60" s="185"/>
      <c r="F60" s="185"/>
      <c r="G60" s="185"/>
    </row>
    <row r="61" spans="1:7" ht="12.75">
      <c r="A61" s="74" t="s">
        <v>97</v>
      </c>
      <c r="B61" s="184"/>
      <c r="C61" s="195">
        <v>4.630674372020849</v>
      </c>
      <c r="D61" s="195">
        <v>73.00956699396738</v>
      </c>
      <c r="E61" s="195">
        <v>64.52666000000045</v>
      </c>
      <c r="F61" s="195">
        <v>51.77981068493136</v>
      </c>
      <c r="G61" s="195">
        <v>46.050824383561576</v>
      </c>
    </row>
    <row r="62" spans="1:7" ht="12.75">
      <c r="A62" s="74" t="s">
        <v>98</v>
      </c>
      <c r="B62" s="184"/>
      <c r="C62" s="195">
        <v>0</v>
      </c>
      <c r="D62" s="195">
        <v>52.00984377272232</v>
      </c>
      <c r="E62" s="195">
        <v>76.86445000000094</v>
      </c>
      <c r="F62" s="195">
        <v>68.86445000000003</v>
      </c>
      <c r="G62" s="195">
        <v>68.03157328767156</v>
      </c>
    </row>
    <row r="63" spans="1:7" ht="12.75">
      <c r="A63" s="74" t="s">
        <v>99</v>
      </c>
      <c r="B63" s="184"/>
      <c r="C63" s="195">
        <v>0</v>
      </c>
      <c r="D63" s="195">
        <v>0</v>
      </c>
      <c r="E63" s="195">
        <v>30.02092025706827</v>
      </c>
      <c r="F63" s="195">
        <v>93.59000000000015</v>
      </c>
      <c r="G63" s="195">
        <v>93.58999999999969</v>
      </c>
    </row>
    <row r="64" spans="1:7" ht="12.75">
      <c r="A64" s="74" t="s">
        <v>100</v>
      </c>
      <c r="B64" s="184"/>
      <c r="C64" s="195">
        <v>0</v>
      </c>
      <c r="D64" s="195">
        <v>0</v>
      </c>
      <c r="E64" s="195">
        <v>0</v>
      </c>
      <c r="F64" s="195">
        <v>25.77295242026804</v>
      </c>
      <c r="G64" s="195">
        <v>100.13999999999987</v>
      </c>
    </row>
    <row r="65" spans="1:7" ht="12.75">
      <c r="A65" s="74" t="s">
        <v>101</v>
      </c>
      <c r="B65" s="184"/>
      <c r="C65" s="195">
        <v>0</v>
      </c>
      <c r="D65" s="195">
        <v>0</v>
      </c>
      <c r="E65" s="195">
        <v>0</v>
      </c>
      <c r="F65" s="195">
        <v>0</v>
      </c>
      <c r="G65" s="195">
        <v>45.894876321062526</v>
      </c>
    </row>
    <row r="66" spans="1:7" ht="12.75">
      <c r="A66" s="74"/>
      <c r="B66" s="184"/>
      <c r="C66" s="185"/>
      <c r="D66" s="185"/>
      <c r="E66" s="185"/>
      <c r="F66" s="185"/>
      <c r="G66" s="185"/>
    </row>
    <row r="68" spans="3:7" ht="12.75">
      <c r="C68" s="52"/>
      <c r="D68" s="52"/>
      <c r="E68" s="52"/>
      <c r="F68" s="52"/>
      <c r="G68" s="52"/>
    </row>
    <row r="69" spans="3:7" ht="12.75">
      <c r="C69" s="52"/>
      <c r="D69" s="52"/>
      <c r="E69" s="52"/>
      <c r="F69" s="52"/>
      <c r="G69" s="52"/>
    </row>
    <row r="70" spans="3:7" ht="12.75">
      <c r="C70" s="52"/>
      <c r="D70" s="52"/>
      <c r="E70" s="52"/>
      <c r="F70" s="52"/>
      <c r="G70" s="52"/>
    </row>
    <row r="71" spans="3:7" ht="12.75">
      <c r="C71" s="52"/>
      <c r="D71" s="52"/>
      <c r="E71" s="52"/>
      <c r="F71" s="52"/>
      <c r="G71" s="52"/>
    </row>
    <row r="72" spans="3:7" ht="12.75">
      <c r="C72" s="52"/>
      <c r="D72" s="52"/>
      <c r="E72" s="52"/>
      <c r="F72" s="52"/>
      <c r="G72" s="52"/>
    </row>
  </sheetData>
  <sheetProtection/>
  <mergeCells count="1">
    <mergeCell ref="C40:G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65.7109375" style="169" customWidth="1"/>
    <col min="2" max="2" width="8.7109375" style="0" customWidth="1"/>
    <col min="3" max="5" width="8.7109375" style="102" customWidth="1"/>
    <col min="6" max="10" width="8.7109375" style="175" customWidth="1"/>
    <col min="11" max="20" width="8.7109375" style="104" customWidth="1"/>
  </cols>
  <sheetData>
    <row r="1" spans="1:11" ht="15.75">
      <c r="A1" s="234" t="s">
        <v>137</v>
      </c>
      <c r="B1" s="43" t="s">
        <v>608</v>
      </c>
      <c r="C1" s="233">
        <f>MATCH($B$1,Scenarios!$B$3:$F$3,0)</f>
        <v>1</v>
      </c>
      <c r="K1" s="452" t="s">
        <v>599</v>
      </c>
    </row>
    <row r="2" spans="1:20" ht="13.5">
      <c r="A2" s="235" t="s">
        <v>654</v>
      </c>
      <c r="C2"/>
      <c r="F2" s="108"/>
      <c r="G2" s="108"/>
      <c r="H2" s="108"/>
      <c r="I2" s="108"/>
      <c r="J2" s="108"/>
      <c r="K2"/>
      <c r="L2"/>
      <c r="M2"/>
      <c r="N2"/>
      <c r="O2"/>
      <c r="P2"/>
      <c r="Q2"/>
      <c r="R2"/>
      <c r="S2"/>
      <c r="T2"/>
    </row>
    <row r="3" spans="1:20" ht="15.75">
      <c r="A3" s="78" t="s">
        <v>582</v>
      </c>
      <c r="B3" s="232"/>
      <c r="C3" s="232"/>
      <c r="D3" s="232" t="s">
        <v>257</v>
      </c>
      <c r="E3" s="232" t="s">
        <v>258</v>
      </c>
      <c r="F3" s="404" t="s">
        <v>259</v>
      </c>
      <c r="G3" s="404" t="s">
        <v>260</v>
      </c>
      <c r="H3" s="404" t="s">
        <v>261</v>
      </c>
      <c r="I3" s="404" t="s">
        <v>262</v>
      </c>
      <c r="J3" s="404" t="s">
        <v>263</v>
      </c>
      <c r="K3" s="184" t="s">
        <v>264</v>
      </c>
      <c r="L3" s="184" t="s">
        <v>265</v>
      </c>
      <c r="M3" s="184" t="s">
        <v>266</v>
      </c>
      <c r="N3" s="184" t="s">
        <v>267</v>
      </c>
      <c r="O3" s="184" t="s">
        <v>268</v>
      </c>
      <c r="P3" s="184" t="s">
        <v>269</v>
      </c>
      <c r="Q3" s="184" t="s">
        <v>270</v>
      </c>
      <c r="R3" s="184" t="s">
        <v>271</v>
      </c>
      <c r="S3" s="184" t="s">
        <v>272</v>
      </c>
      <c r="T3" s="184" t="s">
        <v>273</v>
      </c>
    </row>
    <row r="4" spans="1:10" ht="15.75">
      <c r="A4" s="220" t="s">
        <v>116</v>
      </c>
      <c r="F4" s="173"/>
      <c r="G4" s="173"/>
      <c r="H4" s="173"/>
      <c r="I4" s="173"/>
      <c r="J4" s="173"/>
    </row>
    <row r="5" spans="1:20" ht="13.5">
      <c r="A5" s="225" t="s">
        <v>39</v>
      </c>
      <c r="C5"/>
      <c r="E5" s="100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1" customHeight="1">
      <c r="A6" s="46"/>
      <c r="C6"/>
      <c r="D6" s="166">
        <f ca="1">OFFSET(D$8,Offsets!$B$1,0)/D$211</f>
        <v>0.18196855435401252</v>
      </c>
      <c r="E6" s="166">
        <f ca="1">OFFSET(E$8,Offsets!$B$1,0)/E$211</f>
        <v>0.174314030510904</v>
      </c>
      <c r="F6" s="342">
        <f ca="1">OFFSET(F$8,Offsets!$B$1,0)/F$211</f>
        <v>0.17401738500370253</v>
      </c>
      <c r="G6" s="342">
        <f ca="1">OFFSET(G$8,Offsets!$B$1,0)/G$211</f>
        <v>0.18037611082952207</v>
      </c>
      <c r="H6" s="342">
        <f ca="1">OFFSET(H$8,Offsets!$B$1,0)/H$211</f>
        <v>0.21923547654425082</v>
      </c>
      <c r="I6" s="342">
        <f ca="1">OFFSET(I$8,Offsets!$B$1,0)/I$211</f>
        <v>0.2313270245686799</v>
      </c>
      <c r="J6" s="342">
        <f ca="1">OFFSET(J$8,Offsets!$B$1,0)/J$211</f>
        <v>0.24330166997852928</v>
      </c>
      <c r="K6" s="167">
        <f ca="1">OFFSET(K$8,Offsets!$B$1,0)/K$211</f>
        <v>0.26176784825006083</v>
      </c>
      <c r="L6" s="167">
        <f ca="1">OFFSET(L$8,Offsets!$B$1,0)/L$211</f>
        <v>0.2783017397874954</v>
      </c>
      <c r="M6" s="167">
        <f ca="1">OFFSET(M$8,Offsets!$B$1,0)/M$211</f>
        <v>0.29041519457601506</v>
      </c>
      <c r="N6" s="167">
        <f ca="1">OFFSET(N$8,Offsets!$B$1,0)/N$211</f>
        <v>0.2974895249124965</v>
      </c>
      <c r="O6" s="167">
        <f ca="1">OFFSET(O$8,Offsets!$B$1,0)/O$211</f>
        <v>0.3010218595491022</v>
      </c>
      <c r="P6" s="167">
        <f ca="1">OFFSET(P$8,Offsets!$B$1,0)/P$211</f>
        <v>0.30110157975721047</v>
      </c>
      <c r="Q6" s="167">
        <f ca="1">OFFSET(Q$8,Offsets!$B$1,0)/Q$211</f>
        <v>0.2975235716525219</v>
      </c>
      <c r="R6" s="167">
        <f ca="1">OFFSET(R$8,Offsets!$B$1,0)/R$211</f>
        <v>0.2922986601426877</v>
      </c>
      <c r="S6" s="167">
        <f ca="1">OFFSET(S$8,Offsets!$B$1,0)/S$211</f>
        <v>0.285316844754354</v>
      </c>
      <c r="T6" s="167">
        <f ca="1">OFFSET(T$8,Offsets!$B$1,0)/T$211</f>
        <v>0.2769829497376178</v>
      </c>
    </row>
    <row r="7" spans="1:20" ht="15.75" customHeight="1">
      <c r="A7" s="220" t="s">
        <v>122</v>
      </c>
      <c r="C7" s="322"/>
      <c r="D7" s="323"/>
      <c r="E7" s="323"/>
      <c r="F7" s="143"/>
      <c r="G7" s="143"/>
      <c r="H7" s="143"/>
      <c r="I7" s="143"/>
      <c r="J7" s="143"/>
      <c r="K7" s="324"/>
      <c r="L7" s="324"/>
      <c r="M7" s="324"/>
      <c r="N7" s="324"/>
      <c r="O7" s="324"/>
      <c r="P7" s="324"/>
      <c r="Q7" s="324"/>
      <c r="R7" s="324"/>
      <c r="S7" s="324"/>
      <c r="T7" s="324"/>
    </row>
    <row r="8" spans="1:20" ht="12.75">
      <c r="A8" s="382" t="s">
        <v>613</v>
      </c>
      <c r="B8" s="304"/>
      <c r="C8" s="304"/>
      <c r="D8" s="384"/>
      <c r="E8" s="384"/>
      <c r="F8" s="247"/>
      <c r="G8" s="247"/>
      <c r="H8" s="247"/>
      <c r="I8" s="247"/>
      <c r="J8" s="247"/>
      <c r="K8" s="384"/>
      <c r="L8" s="384"/>
      <c r="M8" s="384"/>
      <c r="N8" s="384"/>
      <c r="O8" s="385"/>
      <c r="P8" s="384"/>
      <c r="Q8" s="384"/>
      <c r="R8" s="384"/>
      <c r="S8" s="304"/>
      <c r="T8" s="304"/>
    </row>
    <row r="9" spans="1:25" ht="12.75">
      <c r="A9" s="302" t="s">
        <v>601</v>
      </c>
      <c r="B9" s="247"/>
      <c r="C9" s="304"/>
      <c r="D9" s="247">
        <f aca="true" t="shared" si="0" ref="D9:T9">D$50</f>
        <v>53.06400000000001</v>
      </c>
      <c r="E9" s="247">
        <f t="shared" si="0"/>
        <v>56.372</v>
      </c>
      <c r="F9" s="224">
        <f t="shared" si="0"/>
        <v>55.538000000000004</v>
      </c>
      <c r="G9" s="224">
        <f t="shared" si="0"/>
        <v>56.8</v>
      </c>
      <c r="H9" s="224">
        <f t="shared" si="0"/>
        <v>58.67400000000001</v>
      </c>
      <c r="I9" s="224">
        <f t="shared" si="0"/>
        <v>61.269</v>
      </c>
      <c r="J9" s="224">
        <f t="shared" si="0"/>
        <v>64.374</v>
      </c>
      <c r="K9" s="303">
        <f t="shared" si="0"/>
        <v>68.13686610840297</v>
      </c>
      <c r="L9" s="303">
        <f t="shared" si="0"/>
        <v>71.56414108261139</v>
      </c>
      <c r="M9" s="303">
        <f t="shared" si="0"/>
        <v>75.15816292799808</v>
      </c>
      <c r="N9" s="303">
        <f t="shared" si="0"/>
        <v>79.06984599497926</v>
      </c>
      <c r="O9" s="303">
        <f t="shared" si="0"/>
        <v>83.08060240952639</v>
      </c>
      <c r="P9" s="303">
        <f t="shared" si="0"/>
        <v>87.23558583730139</v>
      </c>
      <c r="Q9" s="303">
        <f t="shared" si="0"/>
        <v>91.54633254446509</v>
      </c>
      <c r="R9" s="303">
        <f t="shared" si="0"/>
        <v>95.43186618081178</v>
      </c>
      <c r="S9" s="303">
        <f t="shared" si="0"/>
        <v>99.45876024836554</v>
      </c>
      <c r="T9" s="303">
        <f t="shared" si="0"/>
        <v>103.54345738962655</v>
      </c>
      <c r="V9" s="58"/>
      <c r="W9" s="58"/>
      <c r="X9" s="58"/>
      <c r="Y9" s="58"/>
    </row>
    <row r="10" spans="1:25" ht="12.75">
      <c r="A10" s="302" t="s">
        <v>910</v>
      </c>
      <c r="B10" s="247"/>
      <c r="C10" s="304"/>
      <c r="D10" s="247">
        <f aca="true" t="shared" si="1" ref="D10:T10">SUM(D$9,D$55,D$67,D$57)</f>
        <v>74.58900000000001</v>
      </c>
      <c r="E10" s="247">
        <f t="shared" si="1"/>
        <v>81.479</v>
      </c>
      <c r="F10" s="224">
        <f t="shared" si="1"/>
        <v>81.69</v>
      </c>
      <c r="G10" s="224">
        <f t="shared" si="1"/>
        <v>84.644</v>
      </c>
      <c r="H10" s="224">
        <f t="shared" si="1"/>
        <v>88.656</v>
      </c>
      <c r="I10" s="224">
        <f t="shared" si="1"/>
        <v>92.201</v>
      </c>
      <c r="J10" s="224">
        <f t="shared" si="1"/>
        <v>96.888</v>
      </c>
      <c r="K10" s="303">
        <f t="shared" si="1"/>
        <v>101.38928042339101</v>
      </c>
      <c r="L10" s="303">
        <f t="shared" si="1"/>
        <v>106.11851592677984</v>
      </c>
      <c r="M10" s="303">
        <f t="shared" si="1"/>
        <v>111.17501723326546</v>
      </c>
      <c r="N10" s="303">
        <f t="shared" si="1"/>
        <v>116.73366347114752</v>
      </c>
      <c r="O10" s="303">
        <f t="shared" si="1"/>
        <v>122.43121095121936</v>
      </c>
      <c r="P10" s="303">
        <f t="shared" si="1"/>
        <v>128.21166475783374</v>
      </c>
      <c r="Q10" s="303">
        <f t="shared" si="1"/>
        <v>134.19238073478502</v>
      </c>
      <c r="R10" s="303">
        <f t="shared" si="1"/>
        <v>139.79142955381133</v>
      </c>
      <c r="S10" s="303">
        <f t="shared" si="1"/>
        <v>145.59221371864464</v>
      </c>
      <c r="T10" s="303">
        <f t="shared" si="1"/>
        <v>151.46342531079807</v>
      </c>
      <c r="V10" s="58"/>
      <c r="W10" s="58"/>
      <c r="X10" s="58"/>
      <c r="Y10" s="58"/>
    </row>
    <row r="11" spans="1:25" ht="12.75">
      <c r="A11" s="302" t="s">
        <v>911</v>
      </c>
      <c r="B11" s="247"/>
      <c r="C11" s="304"/>
      <c r="D11" s="247">
        <f aca="true" t="shared" si="2" ref="D11:T11">SUM(D$12,D$108)</f>
        <v>68.72900000000001</v>
      </c>
      <c r="E11" s="247">
        <f t="shared" si="2"/>
        <v>75.84199999999998</v>
      </c>
      <c r="F11" s="224">
        <f t="shared" si="2"/>
        <v>81.75400000000002</v>
      </c>
      <c r="G11" s="224">
        <f t="shared" si="2"/>
        <v>86.39</v>
      </c>
      <c r="H11" s="224">
        <f t="shared" si="2"/>
        <v>91.137</v>
      </c>
      <c r="I11" s="224">
        <f t="shared" si="2"/>
        <v>95.29299999999999</v>
      </c>
      <c r="J11" s="224">
        <f t="shared" si="2"/>
        <v>100.262</v>
      </c>
      <c r="K11" s="303">
        <f t="shared" si="2"/>
        <v>104.11682296829964</v>
      </c>
      <c r="L11" s="303">
        <f t="shared" si="2"/>
        <v>108.41313981295013</v>
      </c>
      <c r="M11" s="303">
        <f t="shared" si="2"/>
        <v>112.89793795741039</v>
      </c>
      <c r="N11" s="303">
        <f t="shared" si="2"/>
        <v>117.61422666428169</v>
      </c>
      <c r="O11" s="303">
        <f t="shared" si="2"/>
        <v>122.40763864732018</v>
      </c>
      <c r="P11" s="303">
        <f t="shared" si="2"/>
        <v>127.19923530072722</v>
      </c>
      <c r="Q11" s="303">
        <f t="shared" si="2"/>
        <v>132.03629900293865</v>
      </c>
      <c r="R11" s="303">
        <f t="shared" si="2"/>
        <v>137.05475684781211</v>
      </c>
      <c r="S11" s="303">
        <f t="shared" si="2"/>
        <v>142.2408080656818</v>
      </c>
      <c r="T11" s="303">
        <f t="shared" si="2"/>
        <v>147.48841262595505</v>
      </c>
      <c r="V11" s="58"/>
      <c r="W11" s="58"/>
      <c r="X11" s="58"/>
      <c r="Y11" s="58"/>
    </row>
    <row r="12" spans="1:25" ht="12.75">
      <c r="A12" s="302" t="s">
        <v>917</v>
      </c>
      <c r="B12" s="247"/>
      <c r="C12" s="304"/>
      <c r="D12" s="247">
        <f>SUM($D$69:D$69,D$80,D$90,D$96,D$104)</f>
        <v>65.84400000000001</v>
      </c>
      <c r="E12" s="247">
        <f>SUM($D$69:E$69,E$80,E$90,E$96,E$104)</f>
        <v>72.74099999999999</v>
      </c>
      <c r="F12" s="224">
        <f>SUM($D$69:F$69,F$80,F$90,F$96,F$104)</f>
        <v>78.44300000000001</v>
      </c>
      <c r="G12" s="224">
        <f>SUM($D$69:G$69,G$80,G$90,G$96,G$104)</f>
        <v>82.933</v>
      </c>
      <c r="H12" s="224">
        <f>SUM($D$69:H$69,H$80,H$90,H$96,H$104)</f>
        <v>87.128</v>
      </c>
      <c r="I12" s="224">
        <f>SUM($D$69:I$69,I$80,I$90,I$96,I$104)</f>
        <v>90.859</v>
      </c>
      <c r="J12" s="224">
        <f>SUM($D$69:J$69,J$80,J$90,J$96,J$104)</f>
        <v>95.346</v>
      </c>
      <c r="K12" s="303">
        <f>SUM($D$69:K$69,K$80,K$90,K$96,K$104)</f>
        <v>99.53492296829964</v>
      </c>
      <c r="L12" s="303">
        <f>SUM($D$69:L$69,L$80,L$90,L$96,L$104)</f>
        <v>103.42014316801695</v>
      </c>
      <c r="M12" s="303">
        <f>SUM($D$69:M$69,M$80,M$90,M$96,M$104)</f>
        <v>107.49210809826256</v>
      </c>
      <c r="N12" s="303">
        <f>SUM($D$69:N$69,N$80,N$90,N$96,N$104)</f>
        <v>111.81601478413428</v>
      </c>
      <c r="O12" s="303">
        <f>SUM($D$69:O$69,O$80,O$90,O$96,O$104)</f>
        <v>116.24867207280668</v>
      </c>
      <c r="P12" s="303">
        <f>SUM($D$69:P$69,P$80,P$90,P$96,P$104)</f>
        <v>120.72307500472883</v>
      </c>
      <c r="Q12" s="303">
        <f>SUM($D$69:Q$69,Q$80,Q$90,Q$96,Q$104)</f>
        <v>125.29239809438602</v>
      </c>
      <c r="R12" s="303">
        <f>SUM($D$69:R$69,R$80,R$90,R$96,R$104)</f>
        <v>130.10324535122473</v>
      </c>
      <c r="S12" s="303">
        <f>SUM($D$69:S$69,S$80,S$90,S$96,S$104)</f>
        <v>135.1127391336746</v>
      </c>
      <c r="T12" s="303">
        <f>SUM($D$69:T$69,T$80,T$90,T$96,T$104)</f>
        <v>140.2179050719397</v>
      </c>
      <c r="V12" s="58"/>
      <c r="W12" s="58"/>
      <c r="X12" s="58"/>
      <c r="Y12" s="58"/>
    </row>
    <row r="13" spans="1:25" ht="12.75">
      <c r="A13" s="302" t="s">
        <v>913</v>
      </c>
      <c r="B13" s="247"/>
      <c r="C13" s="304"/>
      <c r="D13" s="247">
        <f aca="true" t="shared" si="3" ref="D13:T13">D$10-D$11</f>
        <v>5.859999999999999</v>
      </c>
      <c r="E13" s="247">
        <f t="shared" si="3"/>
        <v>5.637000000000015</v>
      </c>
      <c r="F13" s="224">
        <f t="shared" si="3"/>
        <v>-0.06400000000002137</v>
      </c>
      <c r="G13" s="224">
        <f t="shared" si="3"/>
        <v>-1.7459999999999951</v>
      </c>
      <c r="H13" s="224">
        <f t="shared" si="3"/>
        <v>-2.4809999999999945</v>
      </c>
      <c r="I13" s="224">
        <f t="shared" si="3"/>
        <v>-3.0919999999999987</v>
      </c>
      <c r="J13" s="224">
        <f t="shared" si="3"/>
        <v>-3.3739999999999952</v>
      </c>
      <c r="K13" s="303">
        <f t="shared" si="3"/>
        <v>-2.72754254490863</v>
      </c>
      <c r="L13" s="303">
        <f t="shared" si="3"/>
        <v>-2.2946238861702994</v>
      </c>
      <c r="M13" s="303">
        <f t="shared" si="3"/>
        <v>-1.7229207241449274</v>
      </c>
      <c r="N13" s="303">
        <f t="shared" si="3"/>
        <v>-0.8805631931341651</v>
      </c>
      <c r="O13" s="303">
        <f t="shared" si="3"/>
        <v>0.023572303899172198</v>
      </c>
      <c r="P13" s="303">
        <f t="shared" si="3"/>
        <v>1.0124294571065207</v>
      </c>
      <c r="Q13" s="303">
        <f t="shared" si="3"/>
        <v>2.1560817318463705</v>
      </c>
      <c r="R13" s="303">
        <f t="shared" si="3"/>
        <v>2.7366727059992115</v>
      </c>
      <c r="S13" s="303">
        <f t="shared" si="3"/>
        <v>3.3514056529628533</v>
      </c>
      <c r="T13" s="303">
        <f t="shared" si="3"/>
        <v>3.9750126848430227</v>
      </c>
      <c r="V13" s="58"/>
      <c r="W13" s="58"/>
      <c r="X13" s="58"/>
      <c r="Y13" s="58"/>
    </row>
    <row r="14" spans="1:25" s="304" customFormat="1" ht="12.75">
      <c r="A14" s="302" t="s">
        <v>623</v>
      </c>
      <c r="B14" s="247"/>
      <c r="D14" s="247">
        <f>D$13-(D$113-D$116-D115)</f>
        <v>6.079</v>
      </c>
      <c r="E14" s="247">
        <f aca="true" t="shared" si="4" ref="E14:T14">E$13-(E$113-E$116-E122)</f>
        <v>5.5860000000000145</v>
      </c>
      <c r="F14" s="224">
        <f t="shared" si="4"/>
        <v>-0.031000000000021344</v>
      </c>
      <c r="G14" s="224">
        <f t="shared" si="4"/>
        <v>-1.6649999999999952</v>
      </c>
      <c r="H14" s="224">
        <f t="shared" si="4"/>
        <v>-2.3759999999999946</v>
      </c>
      <c r="I14" s="224">
        <f t="shared" si="4"/>
        <v>-2.961999999999999</v>
      </c>
      <c r="J14" s="224">
        <f>J$13-(J$113-J$116-J122)</f>
        <v>-3.2239999999999953</v>
      </c>
      <c r="K14" s="298">
        <f t="shared" si="4"/>
        <v>-2.614209947969358</v>
      </c>
      <c r="L14" s="298">
        <f t="shared" si="4"/>
        <v>-2.1869598579749208</v>
      </c>
      <c r="M14" s="298">
        <f t="shared" si="4"/>
        <v>-1.6212035052529183</v>
      </c>
      <c r="N14" s="298">
        <f t="shared" si="4"/>
        <v>-0.7851512193580366</v>
      </c>
      <c r="O14" s="298">
        <f t="shared" si="4"/>
        <v>0.112274270797901</v>
      </c>
      <c r="P14" s="298">
        <f t="shared" si="4"/>
        <v>1.094015094084737</v>
      </c>
      <c r="Q14" s="298">
        <f t="shared" si="4"/>
        <v>2.2301525666590423</v>
      </c>
      <c r="R14" s="298">
        <f t="shared" si="4"/>
        <v>2.8028837278567824</v>
      </c>
      <c r="S14" s="298">
        <f t="shared" si="4"/>
        <v>3.4094759978897113</v>
      </c>
      <c r="T14" s="298">
        <f t="shared" si="4"/>
        <v>4.02468966915492</v>
      </c>
      <c r="V14" s="58"/>
      <c r="W14" s="58"/>
      <c r="X14" s="58"/>
      <c r="Y14" s="58"/>
    </row>
    <row r="15" spans="1:25" s="304" customFormat="1" ht="12.75">
      <c r="A15" s="302" t="s">
        <v>912</v>
      </c>
      <c r="B15" s="247"/>
      <c r="D15" s="247">
        <f>SUM(Data!C$34:C$36)</f>
        <v>2.243</v>
      </c>
      <c r="E15" s="247">
        <f>SUM(Data!D$34:D$36)</f>
        <v>-3.207</v>
      </c>
      <c r="F15" s="224">
        <f>SUM(Data!E$34:E$36)</f>
        <v>1.974</v>
      </c>
      <c r="G15" s="224">
        <f>SUM(Data!F$34:F$36)</f>
        <v>2.121</v>
      </c>
      <c r="H15" s="224">
        <f>SUM(Data!G$34:G$36)</f>
        <v>2.4109999999999996</v>
      </c>
      <c r="I15" s="224">
        <f>SUM(Data!H$34:H$36)</f>
        <v>2.697</v>
      </c>
      <c r="J15" s="224">
        <f>SUM(Data!I$34:I$36)</f>
        <v>2.993</v>
      </c>
      <c r="K15" s="303">
        <f ca="1">SUM(J$15,K$22-J$22,(K$128-K$129-(J$128-J$129))*(1-OFFSET(Scenarios!$A$21,0,$C$1)),(K$137-K$138-(J$137-J$138))*(1-OFFSET(Scenarios!$A$22,0,$C$1)))</f>
        <v>3.21359730613157</v>
      </c>
      <c r="L15" s="303">
        <f ca="1">SUM(K$15,L$22-K$22,(L$128-L$129-(K$128-K$129))*(1-OFFSET(Scenarios!$A$21,0,$C$1)),(L$137-L$138-(K$137-K$138))*(1-OFFSET(Scenarios!$A$22,0,$C$1)))</f>
        <v>3.5081308801196665</v>
      </c>
      <c r="M15" s="303">
        <f ca="1">SUM(L$15,M$22-L$22,(M$128-M$129-(L$128-L$129))*(1-OFFSET(Scenarios!$A$21,0,$C$1)),(M$137-M$138-(L$137-L$138))*(1-OFFSET(Scenarios!$A$22,0,$C$1)))</f>
        <v>3.817394334611297</v>
      </c>
      <c r="N15" s="303">
        <f ca="1">SUM(M$15,N$22-M$22,(N$128-N$129-(M$128-M$129))*(1-OFFSET(Scenarios!$A$21,0,$C$1)),(N$137-N$138-(M$137-M$138))*(1-OFFSET(Scenarios!$A$22,0,$C$1)))</f>
        <v>4.145351081286213</v>
      </c>
      <c r="O15" s="303">
        <f ca="1">SUM(N$15,O$22-N$22,(O$128-O$129-(N$128-N$129))*(1-OFFSET(Scenarios!$A$21,0,$C$1)),(O$137-O$138-(N$137-N$138))*(1-OFFSET(Scenarios!$A$22,0,$C$1)))</f>
        <v>4.4943287842815165</v>
      </c>
      <c r="P15" s="303">
        <f ca="1">SUM(O$15,P$22-O$22,(P$128-P$129-(O$128-O$129))*(1-OFFSET(Scenarios!$A$21,0,$C$1)),(P$137-P$138-(O$137-O$138))*(1-OFFSET(Scenarios!$A$22,0,$C$1)))</f>
        <v>4.864491880253533</v>
      </c>
      <c r="Q15" s="303">
        <f ca="1">SUM(P$15,Q$22-P$22,(Q$128-Q$129-(P$128-P$129))*(1-OFFSET(Scenarios!$A$21,0,$C$1)),(Q$137-Q$138-(P$137-P$138))*(1-OFFSET(Scenarios!$A$22,0,$C$1)))</f>
        <v>5.255554451872478</v>
      </c>
      <c r="R15" s="303">
        <f ca="1">SUM(Q$15,R$22-Q$22,(R$128-R$129-(Q$128-Q$129))*(1-OFFSET(Scenarios!$A$21,0,$C$1)),(R$137-R$138-(Q$137-Q$138))*(1-OFFSET(Scenarios!$A$22,0,$C$1)))</f>
        <v>5.665027055149294</v>
      </c>
      <c r="S15" s="303">
        <f ca="1">SUM(R$15,S$22-R$22,(S$128-S$129-(R$128-R$129))*(1-OFFSET(Scenarios!$A$21,0,$C$1)),(S$137-S$138-(R$137-R$138))*(1-OFFSET(Scenarios!$A$22,0,$C$1)))</f>
        <v>6.089908937267116</v>
      </c>
      <c r="T15" s="303">
        <f ca="1">SUM(S$15,T$22-S$22,(T$128-T$129-(S$128-S$129))*(1-OFFSET(Scenarios!$A$21,0,$C$1)),(T$137-T$138-(S$137-S$138))*(1-OFFSET(Scenarios!$A$22,0,$C$1)))</f>
        <v>6.528948334658255</v>
      </c>
      <c r="V15" s="58"/>
      <c r="W15" s="58"/>
      <c r="X15" s="58"/>
      <c r="Y15" s="58"/>
    </row>
    <row r="16" spans="1:25" s="304" customFormat="1" ht="12.75">
      <c r="A16" s="302" t="s">
        <v>568</v>
      </c>
      <c r="B16" s="386"/>
      <c r="D16" s="247">
        <f aca="true" t="shared" si="5" ref="D16:T16">SUM(D$13,D$15)</f>
        <v>8.103</v>
      </c>
      <c r="E16" s="247">
        <f t="shared" si="5"/>
        <v>2.430000000000015</v>
      </c>
      <c r="F16" s="224">
        <f t="shared" si="5"/>
        <v>1.9099999999999786</v>
      </c>
      <c r="G16" s="224">
        <f t="shared" si="5"/>
        <v>0.3750000000000049</v>
      </c>
      <c r="H16" s="224">
        <f t="shared" si="5"/>
        <v>-0.06999999999999496</v>
      </c>
      <c r="I16" s="224">
        <f t="shared" si="5"/>
        <v>-0.3949999999999987</v>
      </c>
      <c r="J16" s="224">
        <f t="shared" si="5"/>
        <v>-0.38099999999999534</v>
      </c>
      <c r="K16" s="303">
        <f t="shared" si="5"/>
        <v>0.48605476122294</v>
      </c>
      <c r="L16" s="303">
        <f t="shared" si="5"/>
        <v>1.213506993949367</v>
      </c>
      <c r="M16" s="303">
        <f t="shared" si="5"/>
        <v>2.0944736104663697</v>
      </c>
      <c r="N16" s="303">
        <f t="shared" si="5"/>
        <v>3.264787888152048</v>
      </c>
      <c r="O16" s="303">
        <f t="shared" si="5"/>
        <v>4.517901088180689</v>
      </c>
      <c r="P16" s="303">
        <f t="shared" si="5"/>
        <v>5.876921337360054</v>
      </c>
      <c r="Q16" s="303">
        <f t="shared" si="5"/>
        <v>7.411636183718849</v>
      </c>
      <c r="R16" s="303">
        <f t="shared" si="5"/>
        <v>8.401699761148507</v>
      </c>
      <c r="S16" s="303">
        <f t="shared" si="5"/>
        <v>9.441314590229968</v>
      </c>
      <c r="T16" s="303">
        <f t="shared" si="5"/>
        <v>10.503961019501277</v>
      </c>
      <c r="V16" s="58"/>
      <c r="W16" s="58"/>
      <c r="X16" s="58"/>
      <c r="Y16" s="58"/>
    </row>
    <row r="17" spans="1:25" s="304" customFormat="1" ht="12.75">
      <c r="A17" s="382" t="s">
        <v>616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V17" s="58"/>
      <c r="W17" s="58"/>
      <c r="X17" s="58"/>
      <c r="Y17" s="58"/>
    </row>
    <row r="18" spans="1:25" s="304" customFormat="1" ht="12.75">
      <c r="A18" s="302" t="s">
        <v>601</v>
      </c>
      <c r="B18" s="247"/>
      <c r="D18" s="247">
        <f aca="true" t="shared" si="6" ref="D18:T18">D$52</f>
        <v>53.477</v>
      </c>
      <c r="E18" s="247">
        <f t="shared" si="6"/>
        <v>56.905</v>
      </c>
      <c r="F18" s="224">
        <f t="shared" si="6"/>
        <v>56.058</v>
      </c>
      <c r="G18" s="224">
        <f t="shared" si="6"/>
        <v>57.415</v>
      </c>
      <c r="H18" s="224">
        <f t="shared" si="6"/>
        <v>59.268</v>
      </c>
      <c r="I18" s="224">
        <f t="shared" si="6"/>
        <v>61.893</v>
      </c>
      <c r="J18" s="224">
        <f t="shared" si="6"/>
        <v>65.084</v>
      </c>
      <c r="K18" s="303">
        <f t="shared" si="6"/>
        <v>68.87739855494767</v>
      </c>
      <c r="L18" s="303">
        <f t="shared" si="6"/>
        <v>72.33410306936936</v>
      </c>
      <c r="M18" s="303">
        <f t="shared" si="6"/>
        <v>75.9615119116212</v>
      </c>
      <c r="N18" s="303">
        <f t="shared" si="6"/>
        <v>79.9111176186421</v>
      </c>
      <c r="O18" s="303">
        <f t="shared" si="6"/>
        <v>83.96060431385006</v>
      </c>
      <c r="P18" s="303">
        <f t="shared" si="6"/>
        <v>88.15514379937459</v>
      </c>
      <c r="Q18" s="303">
        <f t="shared" si="6"/>
        <v>92.50636548294428</v>
      </c>
      <c r="R18" s="303">
        <f t="shared" si="6"/>
        <v>96.43328349302078</v>
      </c>
      <c r="S18" s="303">
        <f t="shared" si="6"/>
        <v>100.50292105053727</v>
      </c>
      <c r="T18" s="303">
        <f t="shared" si="6"/>
        <v>104.63050109756745</v>
      </c>
      <c r="V18" s="58"/>
      <c r="W18" s="58"/>
      <c r="X18" s="58"/>
      <c r="Y18" s="58"/>
    </row>
    <row r="19" spans="1:25" s="304" customFormat="1" ht="12.75">
      <c r="A19" s="302" t="s">
        <v>910</v>
      </c>
      <c r="B19" s="247"/>
      <c r="D19" s="247">
        <f>SUM(D$18,D$56,D$64)</f>
        <v>58.211</v>
      </c>
      <c r="E19" s="247">
        <f aca="true" t="shared" si="7" ref="E19:J19">SUM(E$18,E$56,E$57,E$64)</f>
        <v>61.977000000000004</v>
      </c>
      <c r="F19" s="224">
        <f t="shared" si="7"/>
        <v>61.207</v>
      </c>
      <c r="G19" s="224">
        <f t="shared" si="7"/>
        <v>62.888</v>
      </c>
      <c r="H19" s="224">
        <f t="shared" si="7"/>
        <v>65.422</v>
      </c>
      <c r="I19" s="224">
        <f t="shared" si="7"/>
        <v>68.408</v>
      </c>
      <c r="J19" s="224">
        <f t="shared" si="7"/>
        <v>72.161</v>
      </c>
      <c r="K19" s="303">
        <f aca="true" t="shared" si="8" ref="K19:T19">SUM(K$18,K$56:K$57,K$64)</f>
        <v>75.54185796372872</v>
      </c>
      <c r="L19" s="303">
        <f t="shared" si="8"/>
        <v>79.17990119699436</v>
      </c>
      <c r="M19" s="303">
        <f t="shared" si="8"/>
        <v>82.99496330316838</v>
      </c>
      <c r="N19" s="303">
        <f t="shared" si="8"/>
        <v>87.14064165072989</v>
      </c>
      <c r="O19" s="303">
        <f t="shared" si="8"/>
        <v>91.39319299544688</v>
      </c>
      <c r="P19" s="303">
        <f t="shared" si="8"/>
        <v>95.69578648324354</v>
      </c>
      <c r="Q19" s="303">
        <f t="shared" si="8"/>
        <v>100.16212166286344</v>
      </c>
      <c r="R19" s="303">
        <f t="shared" si="8"/>
        <v>104.21044710972829</v>
      </c>
      <c r="S19" s="303">
        <f t="shared" si="8"/>
        <v>108.40712841142025</v>
      </c>
      <c r="T19" s="303">
        <f t="shared" si="8"/>
        <v>112.666342398157</v>
      </c>
      <c r="V19" s="58"/>
      <c r="W19" s="58"/>
      <c r="X19" s="58"/>
      <c r="Y19" s="58"/>
    </row>
    <row r="20" spans="1:25" s="304" customFormat="1" ht="12.75">
      <c r="A20" s="302" t="s">
        <v>911</v>
      </c>
      <c r="B20" s="247"/>
      <c r="D20" s="247">
        <f aca="true" t="shared" si="9" ref="D20:T20">SUM(D$21,D$107)</f>
        <v>54.00300000000001</v>
      </c>
      <c r="E20" s="247">
        <f t="shared" si="9"/>
        <v>56.997</v>
      </c>
      <c r="F20" s="224">
        <f t="shared" si="9"/>
        <v>62.358999999999995</v>
      </c>
      <c r="G20" s="224">
        <f t="shared" si="9"/>
        <v>65.849</v>
      </c>
      <c r="H20" s="224">
        <f t="shared" si="9"/>
        <v>68.89099999999999</v>
      </c>
      <c r="I20" s="224">
        <f t="shared" si="9"/>
        <v>72.252</v>
      </c>
      <c r="J20" s="224">
        <f t="shared" si="9"/>
        <v>76.15700000000001</v>
      </c>
      <c r="K20" s="303">
        <f t="shared" si="9"/>
        <v>79.0599656861037</v>
      </c>
      <c r="L20" s="303">
        <f t="shared" si="9"/>
        <v>82.42946484152401</v>
      </c>
      <c r="M20" s="303">
        <f t="shared" si="9"/>
        <v>85.8316000118323</v>
      </c>
      <c r="N20" s="303">
        <f t="shared" si="9"/>
        <v>89.3145167788365</v>
      </c>
      <c r="O20" s="303">
        <f t="shared" si="9"/>
        <v>92.84019862075725</v>
      </c>
      <c r="P20" s="303">
        <f t="shared" si="9"/>
        <v>96.33667526848122</v>
      </c>
      <c r="Q20" s="303">
        <f t="shared" si="9"/>
        <v>99.85016820135628</v>
      </c>
      <c r="R20" s="303">
        <f t="shared" si="9"/>
        <v>103.51499518069967</v>
      </c>
      <c r="S20" s="303">
        <f t="shared" si="9"/>
        <v>107.30224596853728</v>
      </c>
      <c r="T20" s="303">
        <f t="shared" si="9"/>
        <v>111.14508154346117</v>
      </c>
      <c r="V20" s="58"/>
      <c r="W20" s="58"/>
      <c r="X20" s="58"/>
      <c r="Y20" s="58"/>
    </row>
    <row r="21" spans="1:25" s="304" customFormat="1" ht="12.75">
      <c r="A21" s="302" t="s">
        <v>917</v>
      </c>
      <c r="B21" s="247"/>
      <c r="D21" s="247">
        <f>SUM($D$69:D$69,D$77,D$89,D$95,D$103)</f>
        <v>51.67400000000001</v>
      </c>
      <c r="E21" s="247">
        <f>SUM($D$69:E$69,E$77,E$89,E$95,E$103)</f>
        <v>54.537</v>
      </c>
      <c r="F21" s="224">
        <f>SUM($D$69:F$69,F$77,F$89,F$95,F$103)</f>
        <v>59.702</v>
      </c>
      <c r="G21" s="224">
        <f>SUM($D$69:G$69,G$77,G$89,G$95,G$103)</f>
        <v>63.223</v>
      </c>
      <c r="H21" s="224">
        <f>SUM($D$69:H$69,H$77,H$89,H$95,H$103)</f>
        <v>65.83</v>
      </c>
      <c r="I21" s="224">
        <f>SUM($D$69:I$69,I$77,I$89,I$95,I$103)</f>
        <v>68.797</v>
      </c>
      <c r="J21" s="224">
        <f>SUM($D$69:J$69,J$77,J$89,J$95,J$103)</f>
        <v>72.299</v>
      </c>
      <c r="K21" s="303">
        <f>SUM($D$69:K$69,K$77,K$89,K$95,K$103)</f>
        <v>75.53112568610369</v>
      </c>
      <c r="L21" s="303">
        <f>SUM($D$69:L$69,L$77,L$89,L$95,L$103)</f>
        <v>78.49721088344484</v>
      </c>
      <c r="M21" s="303">
        <f>SUM($D$69:M$69,M$77,M$89,M$95,M$103)</f>
        <v>81.52613863470748</v>
      </c>
      <c r="N21" s="303">
        <f>SUM($D$69:N$69,N$77,N$89,N$95,N$103)</f>
        <v>84.66257939498801</v>
      </c>
      <c r="O21" s="303">
        <f>SUM($D$69:O$69,O$77,O$89,O$95,O$103)</f>
        <v>87.88068026921223</v>
      </c>
      <c r="P21" s="303">
        <f>SUM($D$69:P$69,P$77,P$89,P$95,P$103)</f>
        <v>91.11363540816127</v>
      </c>
      <c r="Q21" s="303">
        <f>SUM($D$69:Q$69,Q$77,Q$89,Q$95,Q$103)</f>
        <v>94.41353053894466</v>
      </c>
      <c r="R21" s="303">
        <f>SUM($D$69:R$69,R$77,R$89,R$95,R$103)</f>
        <v>97.92546365630041</v>
      </c>
      <c r="S21" s="303">
        <f>SUM($D$69:S$69,S$77,S$89,S$95,S$103)</f>
        <v>101.59136203774429</v>
      </c>
      <c r="T21" s="303">
        <f>SUM($D$69:T$69,T$77,T$89,T$95,T$103)</f>
        <v>105.3481892305808</v>
      </c>
      <c r="V21" s="58"/>
      <c r="W21" s="58"/>
      <c r="X21" s="58"/>
      <c r="Y21" s="58"/>
    </row>
    <row r="22" spans="1:25" s="304" customFormat="1" ht="12.75">
      <c r="A22" s="302" t="s">
        <v>912</v>
      </c>
      <c r="B22" s="247"/>
      <c r="D22" s="247">
        <f>Data!C$113</f>
        <v>2.303</v>
      </c>
      <c r="E22" s="247">
        <f>Data!D$113</f>
        <v>-0.932</v>
      </c>
      <c r="F22" s="224">
        <f>Data!E$113</f>
        <v>1.38</v>
      </c>
      <c r="G22" s="224">
        <f>Data!F$113</f>
        <v>1.619</v>
      </c>
      <c r="H22" s="224">
        <f>Data!G$113</f>
        <v>1.869</v>
      </c>
      <c r="I22" s="224">
        <f>Data!H$113</f>
        <v>2.123</v>
      </c>
      <c r="J22" s="224">
        <f>Data!I$113</f>
        <v>2.398</v>
      </c>
      <c r="K22" s="303">
        <f aca="true" t="shared" si="10" ref="K22:T22">SUM(J$22,K$114-J$114)</f>
        <v>2.602782998862948</v>
      </c>
      <c r="L22" s="303">
        <f t="shared" si="10"/>
        <v>2.8773786524970046</v>
      </c>
      <c r="M22" s="303">
        <f t="shared" si="10"/>
        <v>3.1654527786959825</v>
      </c>
      <c r="N22" s="303">
        <f t="shared" si="10"/>
        <v>3.4708901795889933</v>
      </c>
      <c r="O22" s="303">
        <f t="shared" si="10"/>
        <v>3.795934967371385</v>
      </c>
      <c r="P22" s="303">
        <f t="shared" si="10"/>
        <v>4.140662773328378</v>
      </c>
      <c r="Q22" s="303">
        <f t="shared" si="10"/>
        <v>4.504693290696896</v>
      </c>
      <c r="R22" s="303">
        <f t="shared" si="10"/>
        <v>4.885436750529213</v>
      </c>
      <c r="S22" s="303">
        <f t="shared" si="10"/>
        <v>5.279785765917076</v>
      </c>
      <c r="T22" s="303">
        <f t="shared" si="10"/>
        <v>5.686375232920429</v>
      </c>
      <c r="V22" s="58"/>
      <c r="W22" s="58"/>
      <c r="X22" s="58"/>
      <c r="Y22" s="58"/>
    </row>
    <row r="23" spans="1:25" s="304" customFormat="1" ht="12.75">
      <c r="A23" s="302" t="s">
        <v>568</v>
      </c>
      <c r="B23" s="247"/>
      <c r="D23" s="247">
        <f aca="true" t="shared" si="11" ref="D23:T23">D$19-D$20+D$22</f>
        <v>6.510999999999991</v>
      </c>
      <c r="E23" s="247">
        <f t="shared" si="11"/>
        <v>4.048000000000004</v>
      </c>
      <c r="F23" s="224">
        <f t="shared" si="11"/>
        <v>0.22800000000000598</v>
      </c>
      <c r="G23" s="224">
        <f t="shared" si="11"/>
        <v>-1.3420000000000056</v>
      </c>
      <c r="H23" s="224">
        <f t="shared" si="11"/>
        <v>-1.599999999999994</v>
      </c>
      <c r="I23" s="224">
        <f t="shared" si="11"/>
        <v>-1.7209999999999939</v>
      </c>
      <c r="J23" s="224">
        <f t="shared" si="11"/>
        <v>-1.5980000000000092</v>
      </c>
      <c r="K23" s="303">
        <f t="shared" si="11"/>
        <v>-0.9153247235120303</v>
      </c>
      <c r="L23" s="303">
        <f t="shared" si="11"/>
        <v>-0.37218499203263944</v>
      </c>
      <c r="M23" s="303">
        <f t="shared" si="11"/>
        <v>0.32881607003206526</v>
      </c>
      <c r="N23" s="303">
        <f t="shared" si="11"/>
        <v>1.2970150514823775</v>
      </c>
      <c r="O23" s="303">
        <f t="shared" si="11"/>
        <v>2.3489293420610173</v>
      </c>
      <c r="P23" s="303">
        <f t="shared" si="11"/>
        <v>3.4997739880907</v>
      </c>
      <c r="Q23" s="303">
        <f t="shared" si="11"/>
        <v>4.816646752204055</v>
      </c>
      <c r="R23" s="303">
        <f t="shared" si="11"/>
        <v>5.580888679557835</v>
      </c>
      <c r="S23" s="303">
        <f t="shared" si="11"/>
        <v>6.3846682088000435</v>
      </c>
      <c r="T23" s="303">
        <f t="shared" si="11"/>
        <v>7.207636087616254</v>
      </c>
      <c r="V23" s="58"/>
      <c r="W23" s="58"/>
      <c r="X23" s="58"/>
      <c r="Y23" s="58"/>
    </row>
    <row r="24" spans="1:25" s="304" customFormat="1" ht="15.75" customHeight="1">
      <c r="A24" s="383" t="s">
        <v>123</v>
      </c>
      <c r="D24" s="387"/>
      <c r="E24" s="387"/>
      <c r="F24" s="224"/>
      <c r="G24" s="224"/>
      <c r="H24" s="224"/>
      <c r="I24" s="224"/>
      <c r="J24" s="224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V24" s="58"/>
      <c r="W24" s="58"/>
      <c r="X24" s="58"/>
      <c r="Y24" s="58"/>
    </row>
    <row r="25" spans="1:25" s="304" customFormat="1" ht="12.75">
      <c r="A25" s="382" t="s">
        <v>615</v>
      </c>
      <c r="B25" s="386"/>
      <c r="D25" s="386"/>
      <c r="E25" s="386"/>
      <c r="F25" s="247"/>
      <c r="G25" s="247"/>
      <c r="H25" s="247"/>
      <c r="I25" s="247"/>
      <c r="J25" s="247"/>
      <c r="K25" s="386"/>
      <c r="L25" s="386"/>
      <c r="M25" s="386"/>
      <c r="N25" s="386"/>
      <c r="O25" s="384"/>
      <c r="P25" s="384"/>
      <c r="Q25" s="386"/>
      <c r="R25" s="386"/>
      <c r="S25" s="386"/>
      <c r="T25" s="386"/>
      <c r="V25" s="58"/>
      <c r="W25" s="58"/>
      <c r="X25" s="58"/>
      <c r="Y25" s="58"/>
    </row>
    <row r="26" spans="1:25" s="304" customFormat="1" ht="12.75">
      <c r="A26" s="302" t="s">
        <v>478</v>
      </c>
      <c r="B26" s="386"/>
      <c r="D26" s="247">
        <f>SUM(D$148,D$157,D$166,D$168,D$173,$D$175:D$175,D$183)</f>
        <v>180.34900000000002</v>
      </c>
      <c r="E26" s="247">
        <f>SUM(E$148,E$157,E$166,E$168,E$173,$D$175:E$175,E$183)</f>
        <v>200.835</v>
      </c>
      <c r="F26" s="224">
        <f>SUM(F$148,F$157,F$166,F$168,F$173,$D$175:F$175,F$183)</f>
        <v>208.619</v>
      </c>
      <c r="G26" s="224">
        <f>SUM(G$148,G$157,G$166,G$168,G$173,$D$175:G$175,G$183)</f>
        <v>215.056</v>
      </c>
      <c r="H26" s="224">
        <f>SUM(H$148,H$157,H$166,H$168,H$173,$D$175:H$175,H$183)</f>
        <v>226.91099999999997</v>
      </c>
      <c r="I26" s="224">
        <f>SUM(I$148,I$157,I$166,I$168,I$173,$D$175:I$175,I$183)</f>
        <v>233.195</v>
      </c>
      <c r="J26" s="224">
        <f>SUM(J$148,J$157,J$166,J$168,J$173,$D$175:J$175,J$183)</f>
        <v>240.98200000000003</v>
      </c>
      <c r="K26" s="303">
        <f>SUM(K$148,K$157,K$166,K$168,K$173,$D$175:K$175,K$183)</f>
        <v>250.28153657486743</v>
      </c>
      <c r="L26" s="303">
        <f>SUM(L$148,L$157,L$166,L$168,L$173,$D$175:L$175,L$183)</f>
        <v>260.5598063439585</v>
      </c>
      <c r="M26" s="303">
        <f>SUM(M$148,M$157,M$166,M$168,M$173,$D$175:M$175,M$183)</f>
        <v>271.4886312242511</v>
      </c>
      <c r="N26" s="303">
        <f>SUM(N$148,N$157,N$166,N$168,N$173,$D$175:N$175,N$183)</f>
        <v>283.16991259805394</v>
      </c>
      <c r="O26" s="303">
        <f>SUM(O$148,O$157,O$166,O$168,O$173,$D$175:O$175,O$183)</f>
        <v>295.5074603812887</v>
      </c>
      <c r="P26" s="303">
        <f>SUM(P$148,P$157,P$166,P$168,P$173,$D$175:P$175,P$183)</f>
        <v>308.51132131985105</v>
      </c>
      <c r="Q26" s="303">
        <f>SUM(Q$148,Q$157,Q$166,Q$168,Q$173,$D$175:Q$175,Q$183)</f>
        <v>322.19629960438994</v>
      </c>
      <c r="R26" s="303">
        <f>SUM(R$148,R$157,R$166,R$168,R$173,$D$175:R$175,R$183)</f>
        <v>336.50097846063534</v>
      </c>
      <c r="S26" s="303">
        <f>SUM(S$148,S$157,S$166,S$168,S$173,$D$175:S$175,S$183)</f>
        <v>351.4436362534071</v>
      </c>
      <c r="T26" s="303">
        <f>SUM(T$148,T$157,T$166,T$168,T$173,$D$175:T$175,T$183)</f>
        <v>366.9705858148631</v>
      </c>
      <c r="V26" s="58"/>
      <c r="W26" s="58"/>
      <c r="X26" s="58"/>
      <c r="Y26" s="58"/>
    </row>
    <row r="27" spans="1:25" s="304" customFormat="1" ht="12.75">
      <c r="A27" s="302" t="s">
        <v>569</v>
      </c>
      <c r="B27" s="386"/>
      <c r="D27" s="247">
        <f aca="true" t="shared" si="12" ref="D27:T27">SUM(D$199,D$196)</f>
        <v>41.897999999999996</v>
      </c>
      <c r="E27" s="247">
        <f t="shared" si="12"/>
        <v>46.11</v>
      </c>
      <c r="F27" s="224">
        <f t="shared" si="12"/>
        <v>48.618</v>
      </c>
      <c r="G27" s="224">
        <f t="shared" si="12"/>
        <v>52.672</v>
      </c>
      <c r="H27" s="224">
        <f t="shared" si="12"/>
        <v>64.196</v>
      </c>
      <c r="I27" s="224">
        <f t="shared" si="12"/>
        <v>69.684</v>
      </c>
      <c r="J27" s="224">
        <f t="shared" si="12"/>
        <v>76.365</v>
      </c>
      <c r="K27" s="303">
        <f t="shared" si="12"/>
        <v>83.2166107488864</v>
      </c>
      <c r="L27" s="303">
        <f t="shared" si="12"/>
        <v>90.09716431913046</v>
      </c>
      <c r="M27" s="303">
        <f t="shared" si="12"/>
        <v>96.63686466912331</v>
      </c>
      <c r="N27" s="303">
        <f t="shared" si="12"/>
        <v>102.64944290855833</v>
      </c>
      <c r="O27" s="303">
        <f t="shared" si="12"/>
        <v>107.93600493330666</v>
      </c>
      <c r="P27" s="303">
        <f t="shared" si="12"/>
        <v>112.39834847587736</v>
      </c>
      <c r="Q27" s="303">
        <f t="shared" si="12"/>
        <v>115.85852494312316</v>
      </c>
      <c r="R27" s="303">
        <f t="shared" si="12"/>
        <v>118.80114886678643</v>
      </c>
      <c r="S27" s="303">
        <f t="shared" si="12"/>
        <v>121.17512590025603</v>
      </c>
      <c r="T27" s="303">
        <f t="shared" si="12"/>
        <v>122.8965346209601</v>
      </c>
      <c r="V27" s="58"/>
      <c r="W27" s="58"/>
      <c r="X27" s="58"/>
      <c r="Y27" s="58"/>
    </row>
    <row r="28" spans="1:25" s="304" customFormat="1" ht="12.75">
      <c r="A28" s="302" t="s">
        <v>637</v>
      </c>
      <c r="B28" s="386"/>
      <c r="D28" s="247">
        <f aca="true" t="shared" si="13" ref="D28:T28">D$194</f>
        <v>41.623999999999995</v>
      </c>
      <c r="E28" s="247">
        <f>E$194</f>
        <v>49.211</v>
      </c>
      <c r="F28" s="224">
        <f t="shared" si="13"/>
        <v>52.232</v>
      </c>
      <c r="G28" s="224">
        <f t="shared" si="13"/>
        <v>54.235</v>
      </c>
      <c r="H28" s="224">
        <f t="shared" si="13"/>
        <v>54.635000000000005</v>
      </c>
      <c r="I28" s="224">
        <f t="shared" si="13"/>
        <v>55.82000000000001</v>
      </c>
      <c r="J28" s="224">
        <f t="shared" si="13"/>
        <v>57.303</v>
      </c>
      <c r="K28" s="303">
        <f t="shared" si="13"/>
        <v>59.264871064758026</v>
      </c>
      <c r="L28" s="303">
        <f t="shared" si="13"/>
        <v>61.44908026965571</v>
      </c>
      <c r="M28" s="303">
        <f t="shared" si="13"/>
        <v>63.74373118948908</v>
      </c>
      <c r="N28" s="303">
        <f t="shared" si="13"/>
        <v>66.1476464357049</v>
      </c>
      <c r="O28" s="303">
        <f t="shared" si="13"/>
        <v>68.68073110601057</v>
      </c>
      <c r="P28" s="303">
        <f t="shared" si="13"/>
        <v>71.3453271646422</v>
      </c>
      <c r="Q28" s="303">
        <f t="shared" si="13"/>
        <v>74.1584927982164</v>
      </c>
      <c r="R28" s="303">
        <f t="shared" si="13"/>
        <v>77.11884796965</v>
      </c>
      <c r="S28" s="303">
        <f t="shared" si="13"/>
        <v>80.2462141387222</v>
      </c>
      <c r="T28" s="303">
        <f t="shared" si="13"/>
        <v>83.5477939599729</v>
      </c>
      <c r="V28" s="58"/>
      <c r="W28" s="58"/>
      <c r="X28" s="58"/>
      <c r="Y28" s="58"/>
    </row>
    <row r="29" spans="1:25" s="304" customFormat="1" ht="12.75">
      <c r="A29" s="302" t="s">
        <v>570</v>
      </c>
      <c r="B29" s="386"/>
      <c r="D29" s="247">
        <f aca="true" t="shared" si="14" ref="D29:T29">D$26-SUM(D$27,D$28)</f>
        <v>96.82700000000003</v>
      </c>
      <c r="E29" s="247">
        <f>E$26-SUM(E$27,E$28)</f>
        <v>105.51400000000001</v>
      </c>
      <c r="F29" s="224">
        <f t="shared" si="14"/>
        <v>107.769</v>
      </c>
      <c r="G29" s="224">
        <f t="shared" si="14"/>
        <v>108.14900000000002</v>
      </c>
      <c r="H29" s="224">
        <f t="shared" si="14"/>
        <v>108.07999999999997</v>
      </c>
      <c r="I29" s="224">
        <f t="shared" si="14"/>
        <v>107.69099999999999</v>
      </c>
      <c r="J29" s="224">
        <f t="shared" si="14"/>
        <v>107.31400000000002</v>
      </c>
      <c r="K29" s="303">
        <f t="shared" si="14"/>
        <v>107.80005476122301</v>
      </c>
      <c r="L29" s="303">
        <f t="shared" si="14"/>
        <v>109.0135617551723</v>
      </c>
      <c r="M29" s="303">
        <f t="shared" si="14"/>
        <v>111.1080353656387</v>
      </c>
      <c r="N29" s="303">
        <f t="shared" si="14"/>
        <v>114.37282325379073</v>
      </c>
      <c r="O29" s="303">
        <f t="shared" si="14"/>
        <v>118.89072434197146</v>
      </c>
      <c r="P29" s="303">
        <f t="shared" si="14"/>
        <v>124.76764567933151</v>
      </c>
      <c r="Q29" s="303">
        <f t="shared" si="14"/>
        <v>132.1792818630504</v>
      </c>
      <c r="R29" s="303">
        <f t="shared" si="14"/>
        <v>140.5809816241989</v>
      </c>
      <c r="S29" s="303">
        <f t="shared" si="14"/>
        <v>150.02229621442885</v>
      </c>
      <c r="T29" s="303">
        <f t="shared" si="14"/>
        <v>160.5262572339301</v>
      </c>
      <c r="V29" s="58"/>
      <c r="W29" s="58"/>
      <c r="X29" s="58"/>
      <c r="Y29" s="58"/>
    </row>
    <row r="30" spans="1:25" s="304" customFormat="1" ht="12.75">
      <c r="A30" s="302" t="s">
        <v>668</v>
      </c>
      <c r="B30" s="386"/>
      <c r="D30" s="247">
        <f aca="true" t="shared" si="15" ref="D30:T30">D$203</f>
        <v>36.805</v>
      </c>
      <c r="E30" s="247">
        <f t="shared" si="15"/>
        <v>37.745</v>
      </c>
      <c r="F30" s="224">
        <f t="shared" si="15"/>
        <v>38.442</v>
      </c>
      <c r="G30" s="224">
        <f t="shared" si="15"/>
        <v>40.754999999999995</v>
      </c>
      <c r="H30" s="224">
        <f t="shared" si="15"/>
        <v>50.176</v>
      </c>
      <c r="I30" s="224">
        <f t="shared" si="15"/>
        <v>54.980999999999995</v>
      </c>
      <c r="J30" s="224">
        <f t="shared" si="15"/>
        <v>60.021</v>
      </c>
      <c r="K30" s="303">
        <f t="shared" si="15"/>
        <v>66.57713980907914</v>
      </c>
      <c r="L30" s="303">
        <f>L$203</f>
        <v>72.92537348378741</v>
      </c>
      <c r="M30" s="303">
        <f t="shared" si="15"/>
        <v>78.8351980369821</v>
      </c>
      <c r="N30" s="303">
        <f t="shared" si="15"/>
        <v>84.10559229975402</v>
      </c>
      <c r="O30" s="303">
        <f t="shared" si="15"/>
        <v>88.65075500977633</v>
      </c>
      <c r="P30" s="303">
        <f t="shared" si="15"/>
        <v>92.37272080299816</v>
      </c>
      <c r="Q30" s="303">
        <f t="shared" si="15"/>
        <v>95.09170544158725</v>
      </c>
      <c r="R30" s="303">
        <f t="shared" si="15"/>
        <v>97.29138955641821</v>
      </c>
      <c r="S30" s="303">
        <f t="shared" si="15"/>
        <v>98.9080182501216</v>
      </c>
      <c r="T30" s="303">
        <f t="shared" si="15"/>
        <v>99.89466932951083</v>
      </c>
      <c r="V30" s="58"/>
      <c r="W30" s="58"/>
      <c r="X30" s="58"/>
      <c r="Y30" s="58"/>
    </row>
    <row r="31" spans="1:25" s="304" customFormat="1" ht="12.75">
      <c r="A31" s="302" t="s">
        <v>183</v>
      </c>
      <c r="B31" s="386"/>
      <c r="D31" s="247">
        <f aca="true" t="shared" si="16" ref="D31:T31">D$203-D$205</f>
        <v>30.692999999999998</v>
      </c>
      <c r="E31" s="247">
        <f t="shared" si="16"/>
        <v>31.389999999999997</v>
      </c>
      <c r="F31" s="224">
        <f t="shared" si="16"/>
        <v>32.087</v>
      </c>
      <c r="G31" s="224">
        <f t="shared" si="16"/>
        <v>34.39999999999999</v>
      </c>
      <c r="H31" s="224">
        <f t="shared" si="16"/>
        <v>43.821</v>
      </c>
      <c r="I31" s="224">
        <f t="shared" si="16"/>
        <v>48.62599999999999</v>
      </c>
      <c r="J31" s="224">
        <f t="shared" si="16"/>
        <v>53.666</v>
      </c>
      <c r="K31" s="303">
        <f t="shared" si="16"/>
        <v>60.22213980907914</v>
      </c>
      <c r="L31" s="303">
        <f t="shared" si="16"/>
        <v>66.5703734837874</v>
      </c>
      <c r="M31" s="303">
        <f t="shared" si="16"/>
        <v>72.4801980369821</v>
      </c>
      <c r="N31" s="303">
        <f t="shared" si="16"/>
        <v>77.75059229975402</v>
      </c>
      <c r="O31" s="303">
        <f t="shared" si="16"/>
        <v>82.29575500977633</v>
      </c>
      <c r="P31" s="303">
        <f t="shared" si="16"/>
        <v>86.01772080299816</v>
      </c>
      <c r="Q31" s="303">
        <f t="shared" si="16"/>
        <v>88.73670544158725</v>
      </c>
      <c r="R31" s="303">
        <f t="shared" si="16"/>
        <v>90.9363895564182</v>
      </c>
      <c r="S31" s="303">
        <f t="shared" si="16"/>
        <v>92.5530182501216</v>
      </c>
      <c r="T31" s="303">
        <f t="shared" si="16"/>
        <v>93.53966932951083</v>
      </c>
      <c r="V31" s="58"/>
      <c r="W31" s="58"/>
      <c r="X31" s="58"/>
      <c r="Y31" s="58"/>
    </row>
    <row r="32" spans="1:25" s="304" customFormat="1" ht="12.75">
      <c r="A32" s="382" t="s">
        <v>617</v>
      </c>
      <c r="B32" s="386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V32" s="58"/>
      <c r="W32" s="58"/>
      <c r="X32" s="58"/>
      <c r="Y32" s="58"/>
    </row>
    <row r="33" spans="1:25" s="304" customFormat="1" ht="12.75">
      <c r="A33" s="302" t="s">
        <v>478</v>
      </c>
      <c r="B33" s="386"/>
      <c r="D33" s="247">
        <f>SUM(D$144,D$157,D$163,D$167,D$171,$D$175:D$175,D$182)</f>
        <v>105.213</v>
      </c>
      <c r="E33" s="247">
        <f>SUM(E$144,E$157,E$163,E$167,E$171,$D$175:E$175,E$182)</f>
        <v>116.34006</v>
      </c>
      <c r="F33" s="224">
        <f>SUM(F$144,F$157,F$163,F$167,F$171,$D$175:F$175,F$182)</f>
        <v>117.466</v>
      </c>
      <c r="G33" s="224">
        <f>SUM(G$144,G$157,G$163,G$167,G$171,$D$175:G$175,G$182)</f>
        <v>119.179</v>
      </c>
      <c r="H33" s="224">
        <f>SUM(H$144,H$157,H$163,H$167,H$171,$D$175:H$175,H$182)</f>
        <v>126.93199999999999</v>
      </c>
      <c r="I33" s="224">
        <f>SUM(I$144,I$157,I$163,I$167,I$171,$D$175:I$175,I$182)</f>
        <v>129.88400000000001</v>
      </c>
      <c r="J33" s="224">
        <f>SUM(J$144,J$157,J$163,J$167,J$171,$D$175:J$175,J$182)</f>
        <v>133.38600000000002</v>
      </c>
      <c r="K33" s="303">
        <f>SUM(K$144,K$157,K$163,K$167,K$171,$D$175:K$175,K$182)</f>
        <v>139.28142838987526</v>
      </c>
      <c r="L33" s="303">
        <f>SUM(L$144,L$157,L$163,L$167,L$171,$D$175:L$175,L$182)</f>
        <v>145.33930317800844</v>
      </c>
      <c r="M33" s="303">
        <f>SUM(M$144,M$157,M$163,M$167,M$171,$D$175:M$175,M$182)</f>
        <v>151.64659346870633</v>
      </c>
      <c r="N33" s="303">
        <f>SUM(N$144,N$157,N$163,N$167,N$171,$D$175:N$175,N$182)</f>
        <v>158.2581683728339</v>
      </c>
      <c r="O33" s="303">
        <f>SUM(O$144,O$157,O$163,O$167,O$171,$D$175:O$175,O$182)</f>
        <v>165.18390710679134</v>
      </c>
      <c r="P33" s="303">
        <f>SUM(P$144,P$157,P$163,P$167,P$171,$D$175:P$175,P$182)</f>
        <v>172.4192021813207</v>
      </c>
      <c r="Q33" s="303">
        <f>SUM(Q$144,Q$157,Q$163,Q$167,Q$171,$D$175:Q$175,Q$182)</f>
        <v>179.95882268772263</v>
      </c>
      <c r="R33" s="303">
        <f>SUM(R$144,R$157,R$163,R$167,R$171,$D$175:R$175,R$182)</f>
        <v>187.72561687152245</v>
      </c>
      <c r="S33" s="303">
        <f>SUM(S$144,S$157,S$163,S$167,S$171,$D$175:S$175,S$182)</f>
        <v>195.70581645749124</v>
      </c>
      <c r="T33" s="303">
        <f>SUM(T$144,T$157,T$163,T$167,T$171,$D$175:T$175,T$182)</f>
        <v>203.86942749904622</v>
      </c>
      <c r="V33" s="58"/>
      <c r="W33" s="58"/>
      <c r="X33" s="58"/>
      <c r="Y33" s="58"/>
    </row>
    <row r="34" spans="1:25" s="304" customFormat="1" ht="12.75">
      <c r="A34" s="302" t="s">
        <v>569</v>
      </c>
      <c r="B34" s="386"/>
      <c r="D34" s="247">
        <f aca="true" t="shared" si="17" ref="D34:T34">D$201</f>
        <v>35.892</v>
      </c>
      <c r="E34" s="247">
        <f>E$201</f>
        <v>37.336</v>
      </c>
      <c r="F34" s="224">
        <f t="shared" si="17"/>
        <v>37.793</v>
      </c>
      <c r="G34" s="224">
        <f t="shared" si="17"/>
        <v>39.998</v>
      </c>
      <c r="H34" s="224">
        <f t="shared" si="17"/>
        <v>49.295</v>
      </c>
      <c r="I34" s="224">
        <f t="shared" si="17"/>
        <v>53.949</v>
      </c>
      <c r="J34" s="224">
        <f t="shared" si="17"/>
        <v>58.814</v>
      </c>
      <c r="K34" s="303">
        <f t="shared" si="17"/>
        <v>65.53756596798623</v>
      </c>
      <c r="L34" s="303">
        <f t="shared" si="17"/>
        <v>71.75768961874682</v>
      </c>
      <c r="M34" s="303">
        <f t="shared" si="17"/>
        <v>77.5322897308081</v>
      </c>
      <c r="N34" s="303">
        <f t="shared" si="17"/>
        <v>82.658639192417</v>
      </c>
      <c r="O34" s="303">
        <f t="shared" si="17"/>
        <v>87.05066433866578</v>
      </c>
      <c r="P34" s="303">
        <f t="shared" si="17"/>
        <v>90.6106277068604</v>
      </c>
      <c r="Q34" s="303">
        <f t="shared" si="17"/>
        <v>93.15885873998765</v>
      </c>
      <c r="R34" s="303">
        <f t="shared" si="17"/>
        <v>95.18139884654973</v>
      </c>
      <c r="S34" s="303">
        <f t="shared" si="17"/>
        <v>96.6148718813395</v>
      </c>
      <c r="T34" s="303">
        <f t="shared" si="17"/>
        <v>97.41324832599135</v>
      </c>
      <c r="V34" s="58"/>
      <c r="W34" s="58"/>
      <c r="X34" s="58"/>
      <c r="Y34" s="58"/>
    </row>
    <row r="35" spans="1:25" s="304" customFormat="1" ht="12.75">
      <c r="A35" s="302" t="s">
        <v>637</v>
      </c>
      <c r="B35" s="386"/>
      <c r="D35" s="247">
        <f aca="true" t="shared" si="18" ref="D35:T35">D$191</f>
        <v>18.538</v>
      </c>
      <c r="E35" s="247">
        <f>E$191</f>
        <v>21.863</v>
      </c>
      <c r="F35" s="224">
        <f t="shared" si="18"/>
        <v>22.406000000000002</v>
      </c>
      <c r="G35" s="224">
        <f t="shared" si="18"/>
        <v>23.235</v>
      </c>
      <c r="H35" s="224">
        <f t="shared" si="18"/>
        <v>23.261000000000003</v>
      </c>
      <c r="I35" s="224">
        <f t="shared" si="18"/>
        <v>23.24</v>
      </c>
      <c r="J35" s="224">
        <f t="shared" si="18"/>
        <v>23.432000000000002</v>
      </c>
      <c r="K35" s="303">
        <f t="shared" si="18"/>
        <v>23.519187145401034</v>
      </c>
      <c r="L35" s="303">
        <f t="shared" si="18"/>
        <v>23.72912327480625</v>
      </c>
      <c r="M35" s="303">
        <f t="shared" si="18"/>
        <v>23.9329973834108</v>
      </c>
      <c r="N35" s="303">
        <f t="shared" si="18"/>
        <v>24.1212077744471</v>
      </c>
      <c r="O35" s="303">
        <f t="shared" si="18"/>
        <v>24.305992020094752</v>
      </c>
      <c r="P35" s="303">
        <f t="shared" si="18"/>
        <v>24.481549738338813</v>
      </c>
      <c r="Q35" s="303">
        <f t="shared" si="18"/>
        <v>24.656292459409435</v>
      </c>
      <c r="R35" s="303">
        <f t="shared" si="18"/>
        <v>24.819657857089346</v>
      </c>
      <c r="S35" s="303">
        <f t="shared" si="18"/>
        <v>24.981716199468337</v>
      </c>
      <c r="T35" s="303">
        <f t="shared" si="18"/>
        <v>25.139314708755222</v>
      </c>
      <c r="V35" s="58"/>
      <c r="W35" s="58"/>
      <c r="X35" s="58"/>
      <c r="Y35" s="58"/>
    </row>
    <row r="36" spans="1:25" s="304" customFormat="1" ht="12.75">
      <c r="A36" s="302" t="s">
        <v>570</v>
      </c>
      <c r="B36" s="386"/>
      <c r="D36" s="247">
        <f>D$33-SUM(D$34,D$35)</f>
        <v>50.78299999999999</v>
      </c>
      <c r="E36" s="247">
        <f>E$33-SUM(E$34,E$35)</f>
        <v>57.141059999999996</v>
      </c>
      <c r="F36" s="224">
        <f>F$33-SUM(F$34,F$35)</f>
        <v>57.266999999999996</v>
      </c>
      <c r="G36" s="224">
        <f aca="true" t="shared" si="19" ref="G36:T36">G$33-SUM(G$34,G$35)</f>
        <v>55.946000000000005</v>
      </c>
      <c r="H36" s="224">
        <f t="shared" si="19"/>
        <v>54.375999999999976</v>
      </c>
      <c r="I36" s="224">
        <f t="shared" si="19"/>
        <v>52.69500000000002</v>
      </c>
      <c r="J36" s="224">
        <f t="shared" si="19"/>
        <v>51.140000000000015</v>
      </c>
      <c r="K36" s="303">
        <f t="shared" si="19"/>
        <v>50.224675276488</v>
      </c>
      <c r="L36" s="303">
        <f t="shared" si="19"/>
        <v>49.85249028445537</v>
      </c>
      <c r="M36" s="303">
        <f t="shared" si="19"/>
        <v>50.18130635448742</v>
      </c>
      <c r="N36" s="303">
        <f t="shared" si="19"/>
        <v>51.478321405969794</v>
      </c>
      <c r="O36" s="303">
        <f t="shared" si="19"/>
        <v>53.82725074803081</v>
      </c>
      <c r="P36" s="303">
        <f t="shared" si="19"/>
        <v>57.3270247361215</v>
      </c>
      <c r="Q36" s="303">
        <f t="shared" si="19"/>
        <v>62.14367148832554</v>
      </c>
      <c r="R36" s="303">
        <f t="shared" si="19"/>
        <v>67.72456016788337</v>
      </c>
      <c r="S36" s="303">
        <f t="shared" si="19"/>
        <v>74.1092283766834</v>
      </c>
      <c r="T36" s="303">
        <f t="shared" si="19"/>
        <v>81.31686446429966</v>
      </c>
      <c r="V36" s="58"/>
      <c r="W36" s="58"/>
      <c r="X36" s="58"/>
      <c r="Y36" s="58"/>
    </row>
    <row r="37" spans="1:25" s="304" customFormat="1" ht="12.75">
      <c r="A37" s="302" t="s">
        <v>801</v>
      </c>
      <c r="B37" s="386"/>
      <c r="D37" s="247">
        <f>Data!C$99</f>
        <v>4.109000000000002</v>
      </c>
      <c r="E37" s="247">
        <f>Data!D$99</f>
        <v>-0.019</v>
      </c>
      <c r="F37" s="224">
        <f>Data!E$99</f>
        <v>5.207000000000001</v>
      </c>
      <c r="G37" s="224">
        <f>Data!F$99</f>
        <v>10.090999999999998</v>
      </c>
      <c r="H37" s="224">
        <f>Data!G$99</f>
        <v>16.071</v>
      </c>
      <c r="I37" s="224">
        <f>Data!H$99</f>
        <v>22.351999999999993</v>
      </c>
      <c r="J37" s="224">
        <f>Data!I$99</f>
        <v>29.041999999999998</v>
      </c>
      <c r="K37" s="303">
        <f aca="true" t="shared" si="20" ref="K37:T37">J$37+(K$30-J$30)-SUM(K$141-J$141,K$157-J$157,K$163-J$163)</f>
        <v>35.02571018796672</v>
      </c>
      <c r="L37" s="303">
        <f t="shared" si="20"/>
        <v>40.81669436249518</v>
      </c>
      <c r="M37" s="303">
        <f t="shared" si="20"/>
        <v>46.17276559955231</v>
      </c>
      <c r="N37" s="303">
        <f t="shared" si="20"/>
        <v>50.89566185622317</v>
      </c>
      <c r="O37" s="303">
        <f t="shared" si="20"/>
        <v>54.89900252638491</v>
      </c>
      <c r="P37" s="303">
        <f t="shared" si="20"/>
        <v>58.08251442389604</v>
      </c>
      <c r="Q37" s="303">
        <f t="shared" si="20"/>
        <v>60.26844225819474</v>
      </c>
      <c r="R37" s="303">
        <f t="shared" si="20"/>
        <v>61.94155506212439</v>
      </c>
      <c r="S37" s="303">
        <f t="shared" si="20"/>
        <v>63.040087443617374</v>
      </c>
      <c r="T37" s="303">
        <f t="shared" si="20"/>
        <v>63.51867630704538</v>
      </c>
      <c r="V37" s="58"/>
      <c r="W37" s="58"/>
      <c r="X37" s="58"/>
      <c r="Y37" s="58"/>
    </row>
    <row r="38" spans="1:25" s="304" customFormat="1" ht="12.75">
      <c r="A38" s="302" t="s">
        <v>802</v>
      </c>
      <c r="B38" s="386"/>
      <c r="D38" s="247">
        <f aca="true" t="shared" si="21" ref="D38:T38">D$37-D$117</f>
        <v>-8.863999999999999</v>
      </c>
      <c r="E38" s="247">
        <f t="shared" si="21"/>
        <v>-14.231000000000002</v>
      </c>
      <c r="F38" s="224">
        <f t="shared" si="21"/>
        <v>-12.233</v>
      </c>
      <c r="G38" s="224">
        <f t="shared" si="21"/>
        <v>-10.545000000000002</v>
      </c>
      <c r="H38" s="224">
        <f t="shared" si="21"/>
        <v>-8.101999999999997</v>
      </c>
      <c r="I38" s="224">
        <f t="shared" si="21"/>
        <v>-5.670999999999999</v>
      </c>
      <c r="J38" s="224">
        <f t="shared" si="21"/>
        <v>-3.1139999999999937</v>
      </c>
      <c r="K38" s="303">
        <f t="shared" si="21"/>
        <v>-1.43870783296763</v>
      </c>
      <c r="L38" s="303">
        <f t="shared" si="21"/>
        <v>-0.14135102885160933</v>
      </c>
      <c r="M38" s="303">
        <f t="shared" si="21"/>
        <v>0.47154530977563525</v>
      </c>
      <c r="N38" s="303">
        <f t="shared" si="21"/>
        <v>0.14188095388978184</v>
      </c>
      <c r="O38" s="303">
        <f t="shared" si="21"/>
        <v>-1.2262795809752518</v>
      </c>
      <c r="P38" s="303">
        <f t="shared" si="21"/>
        <v>-3.725215541508412</v>
      </c>
      <c r="Q38" s="303">
        <f t="shared" si="21"/>
        <v>-7.528694714216101</v>
      </c>
      <c r="R38" s="303">
        <f t="shared" si="21"/>
        <v>-12.069140689939509</v>
      </c>
      <c r="S38" s="303">
        <f t="shared" si="21"/>
        <v>-17.395033631138993</v>
      </c>
      <c r="T38" s="303">
        <f t="shared" si="21"/>
        <v>-23.520424891513514</v>
      </c>
      <c r="V38" s="58"/>
      <c r="W38" s="58"/>
      <c r="X38" s="58"/>
      <c r="Y38" s="58"/>
    </row>
    <row r="39" spans="1:25" s="304" customFormat="1" ht="13.5">
      <c r="A39" s="409" t="s">
        <v>479</v>
      </c>
      <c r="B39" s="299"/>
      <c r="D39" s="247"/>
      <c r="E39" s="247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V39" s="58"/>
      <c r="W39" s="58"/>
      <c r="X39" s="58"/>
      <c r="Y39" s="58"/>
    </row>
    <row r="40" spans="1:25" s="304" customFormat="1" ht="12.75">
      <c r="A40" s="302" t="s">
        <v>908</v>
      </c>
      <c r="B40" s="141"/>
      <c r="D40" s="416" t="str">
        <f>IF(ROUND(Data!C$33-D$13,3)=0,"OK","ERROR")</f>
        <v>OK</v>
      </c>
      <c r="E40" s="416" t="str">
        <f>IF(ROUND(Data!D$33-E$13,3)=0,"OK","ERROR")</f>
        <v>OK</v>
      </c>
      <c r="F40" s="410" t="str">
        <f>IF(ROUND(Data!E$33-F$13,3)=0,"OK","ERROR")</f>
        <v>OK</v>
      </c>
      <c r="G40" s="410" t="str">
        <f>IF(ROUND(Data!F$33-G$13,3)=0,"OK","ERROR")</f>
        <v>OK</v>
      </c>
      <c r="H40" s="410" t="str">
        <f>IF(ROUND(Data!G$33-H$13,3)=0,"OK","ERROR")</f>
        <v>OK</v>
      </c>
      <c r="I40" s="410" t="str">
        <f>IF(ROUND(Data!H$33-I$13,3)=0,"OK","ERROR")</f>
        <v>OK</v>
      </c>
      <c r="J40" s="410" t="str">
        <f>IF(ROUND(Data!I$33-J$13,3)=0,"OK","ERROR")</f>
        <v>OK</v>
      </c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V40" s="58"/>
      <c r="W40" s="58"/>
      <c r="X40" s="58"/>
      <c r="Y40" s="58"/>
    </row>
    <row r="41" spans="1:25" s="304" customFormat="1" ht="12.75">
      <c r="A41" s="302" t="s">
        <v>480</v>
      </c>
      <c r="B41" s="247"/>
      <c r="D41" s="416" t="str">
        <f>IF(ROUND(Data!C$114-D$23,3)=0,"OK","ERROR")</f>
        <v>OK</v>
      </c>
      <c r="E41" s="416" t="str">
        <f>IF(ROUND(Data!D$114-E$23,3)=0,"OK","ERROR")</f>
        <v>OK</v>
      </c>
      <c r="F41" s="410" t="str">
        <f>IF(ROUND(Data!E$114-F$23,3)=0,"OK","ERROR")</f>
        <v>OK</v>
      </c>
      <c r="G41" s="410" t="str">
        <f>IF(ROUND(Data!F$114-G$23,3)=0,"OK","ERROR")</f>
        <v>OK</v>
      </c>
      <c r="H41" s="410" t="str">
        <f>IF(ROUND(Data!G$114-H$23,3)=0,"OK","ERROR")</f>
        <v>OK</v>
      </c>
      <c r="I41" s="410" t="str">
        <f>IF(ROUND(Data!H$114-I$23,3)=0,"OK","ERROR")</f>
        <v>OK</v>
      </c>
      <c r="J41" s="410" t="str">
        <f>IF(ROUND(Data!I$114-J$23,3)=0,"OK","ERROR")</f>
        <v>OK</v>
      </c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V41" s="58"/>
      <c r="W41" s="58"/>
      <c r="X41" s="58"/>
      <c r="Y41" s="58"/>
    </row>
    <row r="42" spans="1:25" s="304" customFormat="1" ht="12.75">
      <c r="A42" s="302" t="s">
        <v>481</v>
      </c>
      <c r="B42" s="247"/>
      <c r="D42" s="416" t="str">
        <f>IF(ROUND(Data!C$83-D$29,3)=0,"OK","ERROR")</f>
        <v>OK</v>
      </c>
      <c r="E42" s="416" t="str">
        <f>IF(ROUND(Data!D$83-E$29,3)=0,"OK","ERROR")</f>
        <v>OK</v>
      </c>
      <c r="F42" s="410" t="str">
        <f>IF(ROUND(Data!E$83-F$29,3)=0,"OK","ERROR")</f>
        <v>OK</v>
      </c>
      <c r="G42" s="410" t="str">
        <f>IF(ROUND(Data!F$83-G$29,3)=0,"OK","ERROR")</f>
        <v>OK</v>
      </c>
      <c r="H42" s="410" t="str">
        <f>IF(ROUND(Data!G$83-H$29,3)=0,"OK","ERROR")</f>
        <v>OK</v>
      </c>
      <c r="I42" s="410" t="str">
        <f>IF(ROUND(Data!H$83-I$29,3)=0,"OK","ERROR")</f>
        <v>OK</v>
      </c>
      <c r="J42" s="410" t="str">
        <f>IF(ROUND(Data!I$83-J$29,3)=0,"OK","ERROR")</f>
        <v>OK</v>
      </c>
      <c r="K42" s="418" t="str">
        <f aca="true" t="shared" si="22" ref="K42:S42">IF(ROUND(K$29-J$29-K$16,3)=0,"OK","ERROR")</f>
        <v>OK</v>
      </c>
      <c r="L42" s="418" t="str">
        <f t="shared" si="22"/>
        <v>OK</v>
      </c>
      <c r="M42" s="418" t="str">
        <f t="shared" si="22"/>
        <v>OK</v>
      </c>
      <c r="N42" s="418" t="str">
        <f t="shared" si="22"/>
        <v>OK</v>
      </c>
      <c r="O42" s="418" t="str">
        <f t="shared" si="22"/>
        <v>OK</v>
      </c>
      <c r="P42" s="418" t="str">
        <f t="shared" si="22"/>
        <v>OK</v>
      </c>
      <c r="Q42" s="418" t="str">
        <f t="shared" si="22"/>
        <v>OK</v>
      </c>
      <c r="R42" s="418" t="str">
        <f t="shared" si="22"/>
        <v>OK</v>
      </c>
      <c r="S42" s="418" t="str">
        <f t="shared" si="22"/>
        <v>OK</v>
      </c>
      <c r="T42" s="418" t="str">
        <f>IF(ROUND(T$29-S$29-T$16,3)=0,"OK","ERROR")</f>
        <v>OK</v>
      </c>
      <c r="V42" s="58"/>
      <c r="W42" s="58"/>
      <c r="X42" s="58"/>
      <c r="Y42" s="58"/>
    </row>
    <row r="43" spans="1:25" s="304" customFormat="1" ht="12.75">
      <c r="A43" s="302" t="s">
        <v>484</v>
      </c>
      <c r="B43" s="247"/>
      <c r="D43" s="416" t="str">
        <f>IF(ROUND(Data!C$129-D$36,3)=0,"OK","ERROR")</f>
        <v>OK</v>
      </c>
      <c r="E43" s="416" t="str">
        <f>IF(ROUND(Data!D$129-E$36,3)=0,"OK","ERROR")</f>
        <v>OK</v>
      </c>
      <c r="F43" s="410" t="str">
        <f>IF(ROUND(Data!E$129-F$36,3)=0,"OK","ERROR")</f>
        <v>OK</v>
      </c>
      <c r="G43" s="410" t="str">
        <f>IF(ROUND(Data!F$129-G$36,3)=0,"OK","ERROR")</f>
        <v>OK</v>
      </c>
      <c r="H43" s="410" t="str">
        <f>IF(ROUND(Data!G$129-H$36,3)=0,"OK","ERROR")</f>
        <v>OK</v>
      </c>
      <c r="I43" s="410" t="str">
        <f>IF(ROUND(Data!H$129-I$36,3)=0,"OK","ERROR")</f>
        <v>OK</v>
      </c>
      <c r="J43" s="410" t="str">
        <f>IF(ROUND(Data!I$129-J$36,3)=0,"OK","ERROR")</f>
        <v>OK</v>
      </c>
      <c r="K43" s="418" t="str">
        <f aca="true" t="shared" si="23" ref="K43:S43">IF(ROUND(K$36-J$36-K$23,3)=0,"OK","ERROR")</f>
        <v>OK</v>
      </c>
      <c r="L43" s="418" t="str">
        <f t="shared" si="23"/>
        <v>OK</v>
      </c>
      <c r="M43" s="418" t="str">
        <f t="shared" si="23"/>
        <v>OK</v>
      </c>
      <c r="N43" s="418" t="str">
        <f t="shared" si="23"/>
        <v>OK</v>
      </c>
      <c r="O43" s="418" t="str">
        <f t="shared" si="23"/>
        <v>OK</v>
      </c>
      <c r="P43" s="418" t="str">
        <f t="shared" si="23"/>
        <v>OK</v>
      </c>
      <c r="Q43" s="418" t="str">
        <f t="shared" si="23"/>
        <v>OK</v>
      </c>
      <c r="R43" s="418" t="str">
        <f t="shared" si="23"/>
        <v>OK</v>
      </c>
      <c r="S43" s="418" t="str">
        <f t="shared" si="23"/>
        <v>OK</v>
      </c>
      <c r="T43" s="418" t="str">
        <f>IF(ROUND(T$36-S$36-T$23,3)=0,"OK","ERROR")</f>
        <v>OK</v>
      </c>
      <c r="V43" s="58"/>
      <c r="W43" s="58"/>
      <c r="X43" s="58"/>
      <c r="Y43" s="58"/>
    </row>
    <row r="44" spans="1:25" s="304" customFormat="1" ht="12.75">
      <c r="A44" s="382"/>
      <c r="C44" s="141"/>
      <c r="D44" s="141"/>
      <c r="E44" s="141"/>
      <c r="F44" s="224"/>
      <c r="G44" s="224"/>
      <c r="H44" s="224"/>
      <c r="I44" s="224"/>
      <c r="J44" s="224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V44" s="58"/>
      <c r="W44" s="58"/>
      <c r="X44" s="58"/>
      <c r="Y44" s="58"/>
    </row>
    <row r="45" spans="1:25" s="304" customFormat="1" ht="15.75">
      <c r="A45" s="383" t="s">
        <v>573</v>
      </c>
      <c r="C45" s="387"/>
      <c r="D45" s="388"/>
      <c r="E45" s="388"/>
      <c r="F45" s="390"/>
      <c r="G45" s="390"/>
      <c r="H45" s="390"/>
      <c r="I45" s="390"/>
      <c r="J45" s="390"/>
      <c r="K45" s="491"/>
      <c r="L45" s="388"/>
      <c r="M45" s="388"/>
      <c r="N45" s="388"/>
      <c r="O45" s="388"/>
      <c r="P45" s="388"/>
      <c r="Q45" s="388"/>
      <c r="R45" s="388"/>
      <c r="S45" s="388"/>
      <c r="T45" s="388"/>
      <c r="V45" s="58"/>
      <c r="W45" s="58"/>
      <c r="X45" s="58"/>
      <c r="Y45" s="58"/>
    </row>
    <row r="46" spans="1:25" s="304" customFormat="1" ht="12.75">
      <c r="A46" s="394" t="s">
        <v>787</v>
      </c>
      <c r="D46" s="387"/>
      <c r="E46" s="387"/>
      <c r="F46" s="411"/>
      <c r="G46" s="411"/>
      <c r="H46" s="411"/>
      <c r="I46" s="411"/>
      <c r="J46" s="411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V46" s="58"/>
      <c r="W46" s="58"/>
      <c r="X46" s="58"/>
      <c r="Y46" s="58"/>
    </row>
    <row r="47" spans="1:25" s="304" customFormat="1" ht="12.75">
      <c r="A47" s="344" t="s">
        <v>657</v>
      </c>
      <c r="D47" s="247">
        <f>Data!C$131</f>
        <v>20.98</v>
      </c>
      <c r="E47" s="247">
        <f>Data!D$131</f>
        <v>23.345</v>
      </c>
      <c r="F47" s="224">
        <f>Data!E$131</f>
        <v>23.073</v>
      </c>
      <c r="G47" s="224">
        <f>Data!F$131</f>
        <v>23.703</v>
      </c>
      <c r="H47" s="224">
        <f>Data!G$131</f>
        <v>24.41</v>
      </c>
      <c r="I47" s="224">
        <f>Data!H$131</f>
        <v>25.517</v>
      </c>
      <c r="J47" s="224">
        <f>Data!I$131</f>
        <v>27.201</v>
      </c>
      <c r="K47" s="303">
        <f ca="1">IF(AND(OR(OFFSET(Scenarios!$A$24,0,$C$1)&lt;&gt;"Yes",MID(OFFSET(Scenarios!$A$26,0,$C$1),6,2)&lt;MID(K$3,4,2)),OFFSET(Scenarios!$A$48,0,$C$1)="Yes"),IF(J$47/J$211&lt;OFFSET(Scenarios!$A$54,0,$C$1),MIN(J$47/J$211+OFFSET(Scenarios!$A$53,0,$C$1),OFFSET(Scenarios!$A$54,0,$C$1)),MAX(J$47/J$211-OFFSET(Scenarios!$A$53,0,$C$1),OFFSET(Scenarios!$A$54,0,$C$1)))*K$211,J$47*(1+K$227)*(1+IF(AND(OFFSET(Scenarios!$A$24,0,$C$1)="YES",MID(OFFSET(Scenarios!$A$26,0,$C$1),6,2)&gt;=MID(K$3,4,2)),IF(OFFSET(Scenarios!$A$29,0,$C$1)="Inflation",1,OFFSET(Scenarios!$A$25,0,$C$1)),1)*K$230)*(1+IF(AND(OFFSET(Scenarios!$A$24,0,$C$1)="YES",MID(OFFSET(Scenarios!$A$26,0,$C$1),6,2)&gt;=MID(K$3,4,2)),IF(OFFSET(Scenarios!$A$29,0,$C$1)="Wage",1,OFFSET(Scenarios!$A$25,0,$C$1)),1)*K$215))</f>
        <v>28.905180325528228</v>
      </c>
      <c r="L47" s="303">
        <f ca="1">IF(AND(OR(OFFSET(Scenarios!$A$24,0,$C$1)&lt;&gt;"Yes",MID(OFFSET(Scenarios!$A$26,0,$C$1),6,2)&lt;MID(L$3,4,2)),OFFSET(Scenarios!$A$48,0,$C$1)="Yes"),IF(K$47/K$211&lt;OFFSET(Scenarios!$A$54,0,$C$1),MIN(K$47/K$211+OFFSET(Scenarios!$A$53,0,$C$1),OFFSET(Scenarios!$A$54,0,$C$1)),MAX(K$47/K$211-OFFSET(Scenarios!$A$53,0,$C$1),OFFSET(Scenarios!$A$54,0,$C$1)))*L$211,K$47*(1+L$227)*(1+IF(AND(OFFSET(Scenarios!$A$24,0,$C$1)="YES",MID(OFFSET(Scenarios!$A$26,0,$C$1),6,2)&gt;=MID(L$3,4,2)),IF(OFFSET(Scenarios!$A$29,0,$C$1)="Inflation",1,OFFSET(Scenarios!$A$25,0,$C$1)),1)*L$230)*(1+IF(AND(OFFSET(Scenarios!$A$24,0,$C$1)="YES",MID(OFFSET(Scenarios!$A$26,0,$C$1),6,2)&gt;=MID(L$3,4,2)),IF(OFFSET(Scenarios!$A$29,0,$C$1)="Wage",1,OFFSET(Scenarios!$A$25,0,$C$1)),1)*L$215))</f>
        <v>30.63828071511262</v>
      </c>
      <c r="M47" s="303">
        <f ca="1">IF(AND(OR(OFFSET(Scenarios!$A$24,0,$C$1)&lt;&gt;"Yes",MID(OFFSET(Scenarios!$A$26,0,$C$1),6,2)&lt;MID(M$3,4,2)),OFFSET(Scenarios!$A$48,0,$C$1)="Yes"),IF(L$47/L$211&lt;OFFSET(Scenarios!$A$54,0,$C$1),MIN(L$47/L$211+OFFSET(Scenarios!$A$53,0,$C$1),OFFSET(Scenarios!$A$54,0,$C$1)),MAX(L$47/L$211-OFFSET(Scenarios!$A$53,0,$C$1),OFFSET(Scenarios!$A$54,0,$C$1)))*M$211,L$47*(1+M$227)*(1+IF(AND(OFFSET(Scenarios!$A$24,0,$C$1)="YES",MID(OFFSET(Scenarios!$A$26,0,$C$1),6,2)&gt;=MID(M$3,4,2)),IF(OFFSET(Scenarios!$A$29,0,$C$1)="Inflation",1,OFFSET(Scenarios!$A$25,0,$C$1)),1)*M$230)*(1+IF(AND(OFFSET(Scenarios!$A$24,0,$C$1)="YES",MID(OFFSET(Scenarios!$A$26,0,$C$1),6,2)&gt;=MID(M$3,4,2)),IF(OFFSET(Scenarios!$A$29,0,$C$1)="Wage",1,OFFSET(Scenarios!$A$25,0,$C$1)),1)*M$215))</f>
        <v>32.457680442404104</v>
      </c>
      <c r="N47" s="303">
        <f ca="1">IF(AND(OR(OFFSET(Scenarios!$A$24,0,$C$1)&lt;&gt;"Yes",MID(OFFSET(Scenarios!$A$26,0,$C$1),6,2)&lt;MID(N$3,4,2)),OFFSET(Scenarios!$A$48,0,$C$1)="Yes"),IF(M$47/M$211&lt;OFFSET(Scenarios!$A$54,0,$C$1),MIN(M$47/M$211+OFFSET(Scenarios!$A$53,0,$C$1),OFFSET(Scenarios!$A$54,0,$C$1)),MAX(M$47/M$211-OFFSET(Scenarios!$A$53,0,$C$1),OFFSET(Scenarios!$A$54,0,$C$1)))*N$211,M$47*(1+N$227)*(1+IF(AND(OFFSET(Scenarios!$A$24,0,$C$1)="YES",MID(OFFSET(Scenarios!$A$26,0,$C$1),6,2)&gt;=MID(N$3,4,2)),IF(OFFSET(Scenarios!$A$29,0,$C$1)="Inflation",1,OFFSET(Scenarios!$A$25,0,$C$1)),1)*N$230)*(1+IF(AND(OFFSET(Scenarios!$A$24,0,$C$1)="YES",MID(OFFSET(Scenarios!$A$26,0,$C$1),6,2)&gt;=MID(N$3,4,2)),IF(OFFSET(Scenarios!$A$29,0,$C$1)="Wage",1,OFFSET(Scenarios!$A$25,0,$C$1)),1)*N$215))</f>
        <v>34.35365793206609</v>
      </c>
      <c r="O47" s="303">
        <f ca="1">IF(AND(OR(OFFSET(Scenarios!$A$24,0,$C$1)&lt;&gt;"Yes",MID(OFFSET(Scenarios!$A$26,0,$C$1),6,2)&lt;MID(O$3,4,2)),OFFSET(Scenarios!$A$48,0,$C$1)="Yes"),IF(N$47/N$211&lt;OFFSET(Scenarios!$A$54,0,$C$1),MIN(N$47/N$211+OFFSET(Scenarios!$A$53,0,$C$1),OFFSET(Scenarios!$A$54,0,$C$1)),MAX(N$47/N$211-OFFSET(Scenarios!$A$53,0,$C$1),OFFSET(Scenarios!$A$54,0,$C$1)))*O$211,N$47*(1+O$227)*(1+IF(AND(OFFSET(Scenarios!$A$24,0,$C$1)="YES",MID(OFFSET(Scenarios!$A$26,0,$C$1),6,2)&gt;=MID(O$3,4,2)),IF(OFFSET(Scenarios!$A$29,0,$C$1)="Inflation",1,OFFSET(Scenarios!$A$25,0,$C$1)),1)*O$230)*(1+IF(AND(OFFSET(Scenarios!$A$24,0,$C$1)="YES",MID(OFFSET(Scenarios!$A$26,0,$C$1),6,2)&gt;=MID(O$3,4,2)),IF(OFFSET(Scenarios!$A$29,0,$C$1)="Wage",1,OFFSET(Scenarios!$A$25,0,$C$1)),1)*O$215))</f>
        <v>36.30578017300529</v>
      </c>
      <c r="P47" s="303">
        <f ca="1">IF(AND(OR(OFFSET(Scenarios!$A$24,0,$C$1)&lt;&gt;"Yes",MID(OFFSET(Scenarios!$A$26,0,$C$1),6,2)&lt;MID(P$3,4,2)),OFFSET(Scenarios!$A$48,0,$C$1)="Yes"),IF(O$47/O$211&lt;OFFSET(Scenarios!$A$54,0,$C$1),MIN(O$47/O$211+OFFSET(Scenarios!$A$53,0,$C$1),OFFSET(Scenarios!$A$54,0,$C$1)),MAX(O$47/O$211-OFFSET(Scenarios!$A$53,0,$C$1),OFFSET(Scenarios!$A$54,0,$C$1)))*P$211,O$47*(1+P$227)*(1+IF(AND(OFFSET(Scenarios!$A$24,0,$C$1)="YES",MID(OFFSET(Scenarios!$A$26,0,$C$1),6,2)&gt;=MID(P$3,4,2)),IF(OFFSET(Scenarios!$A$29,0,$C$1)="Inflation",1,OFFSET(Scenarios!$A$25,0,$C$1)),1)*P$230)*(1+IF(AND(OFFSET(Scenarios!$A$24,0,$C$1)="YES",MID(OFFSET(Scenarios!$A$26,0,$C$1),6,2)&gt;=MID(P$3,4,2)),IF(OFFSET(Scenarios!$A$29,0,$C$1)="Wage",1,OFFSET(Scenarios!$A$25,0,$C$1)),1)*P$215))</f>
        <v>38.358236821552055</v>
      </c>
      <c r="Q47" s="303">
        <f ca="1">IF(AND(OR(OFFSET(Scenarios!$A$24,0,$C$1)&lt;&gt;"Yes",MID(OFFSET(Scenarios!$A$26,0,$C$1),6,2)&lt;MID(Q$3,4,2)),OFFSET(Scenarios!$A$48,0,$C$1)="Yes"),IF(P$47/P$211&lt;OFFSET(Scenarios!$A$54,0,$C$1),MIN(P$47/P$211+OFFSET(Scenarios!$A$53,0,$C$1),OFFSET(Scenarios!$A$54,0,$C$1)),MAX(P$47/P$211-OFFSET(Scenarios!$A$53,0,$C$1),OFFSET(Scenarios!$A$54,0,$C$1)))*Q$211,P$47*(1+Q$227)*(1+IF(AND(OFFSET(Scenarios!$A$24,0,$C$1)="YES",MID(OFFSET(Scenarios!$A$26,0,$C$1),6,2)&gt;=MID(Q$3,4,2)),IF(OFFSET(Scenarios!$A$29,0,$C$1)="Inflation",1,OFFSET(Scenarios!$A$25,0,$C$1)),1)*Q$230)*(1+IF(AND(OFFSET(Scenarios!$A$24,0,$C$1)="YES",MID(OFFSET(Scenarios!$A$26,0,$C$1),6,2)&gt;=MID(Q$3,4,2)),IF(OFFSET(Scenarios!$A$29,0,$C$1)="Wage",1,OFFSET(Scenarios!$A$25,0,$C$1)),1)*Q$215))</f>
        <v>40.51761338154287</v>
      </c>
      <c r="R47" s="303">
        <f ca="1">IF(AND(OR(OFFSET(Scenarios!$A$24,0,$C$1)&lt;&gt;"Yes",MID(OFFSET(Scenarios!$A$26,0,$C$1),6,2)&lt;MID(R$3,4,2)),OFFSET(Scenarios!$A$48,0,$C$1)="Yes"),IF(Q$47/Q$211&lt;OFFSET(Scenarios!$A$54,0,$C$1),MIN(Q$47/Q$211+OFFSET(Scenarios!$A$53,0,$C$1),OFFSET(Scenarios!$A$54,0,$C$1)),MAX(Q$47/Q$211-OFFSET(Scenarios!$A$53,0,$C$1),OFFSET(Scenarios!$A$54,0,$C$1)))*R$211,Q$47*(1+R$227)*(1+IF(AND(OFFSET(Scenarios!$A$24,0,$C$1)="YES",MID(OFFSET(Scenarios!$A$26,0,$C$1),6,2)&gt;=MID(R$3,4,2)),IF(OFFSET(Scenarios!$A$29,0,$C$1)="Inflation",1,OFFSET(Scenarios!$A$25,0,$C$1)),1)*R$230)*(1+IF(AND(OFFSET(Scenarios!$A$24,0,$C$1)="YES",MID(OFFSET(Scenarios!$A$26,0,$C$1),6,2)&gt;=MID(R$3,4,2)),IF(OFFSET(Scenarios!$A$29,0,$C$1)="Wage",1,OFFSET(Scenarios!$A$25,0,$C$1)),1)*R$215))</f>
        <v>42.203439591040855</v>
      </c>
      <c r="S47" s="303">
        <f ca="1">IF(AND(OR(OFFSET(Scenarios!$A$24,0,$C$1)&lt;&gt;"Yes",MID(OFFSET(Scenarios!$A$26,0,$C$1),6,2)&lt;MID(S$3,4,2)),OFFSET(Scenarios!$A$48,0,$C$1)="Yes"),IF(R$47/R$211&lt;OFFSET(Scenarios!$A$54,0,$C$1),MIN(R$47/R$211+OFFSET(Scenarios!$A$53,0,$C$1),OFFSET(Scenarios!$A$54,0,$C$1)),MAX(R$47/R$211-OFFSET(Scenarios!$A$53,0,$C$1),OFFSET(Scenarios!$A$54,0,$C$1)))*S$211,R$47*(1+S$227)*(1+IF(AND(OFFSET(Scenarios!$A$24,0,$C$1)="YES",MID(OFFSET(Scenarios!$A$26,0,$C$1),6,2)&gt;=MID(S$3,4,2)),IF(OFFSET(Scenarios!$A$29,0,$C$1)="Inflation",1,OFFSET(Scenarios!$A$25,0,$C$1)),1)*S$230)*(1+IF(AND(OFFSET(Scenarios!$A$24,0,$C$1)="YES",MID(OFFSET(Scenarios!$A$26,0,$C$1),6,2)&gt;=MID(S$3,4,2)),IF(OFFSET(Scenarios!$A$29,0,$C$1)="Wage",1,OFFSET(Scenarios!$A$25,0,$C$1)),1)*S$215))</f>
        <v>43.95838500149204</v>
      </c>
      <c r="T47" s="303">
        <f ca="1">IF(AND(OR(OFFSET(Scenarios!$A$24,0,$C$1)&lt;&gt;"Yes",MID(OFFSET(Scenarios!$A$26,0,$C$1),6,2)&lt;MID(T$3,4,2)),OFFSET(Scenarios!$A$48,0,$C$1)="Yes"),IF(S$47/S$211&lt;OFFSET(Scenarios!$A$54,0,$C$1),MIN(S$47/S$211+OFFSET(Scenarios!$A$53,0,$C$1),OFFSET(Scenarios!$A$54,0,$C$1)),MAX(S$47/S$211-OFFSET(Scenarios!$A$53,0,$C$1),OFFSET(Scenarios!$A$54,0,$C$1)))*T$211,S$47*(1+T$227)*(1+IF(AND(OFFSET(Scenarios!$A$24,0,$C$1)="YES",MID(OFFSET(Scenarios!$A$26,0,$C$1),6,2)&gt;=MID(T$3,4,2)),IF(OFFSET(Scenarios!$A$29,0,$C$1)="Inflation",1,OFFSET(Scenarios!$A$25,0,$C$1)),1)*T$230)*(1+IF(AND(OFFSET(Scenarios!$A$24,0,$C$1)="YES",MID(OFFSET(Scenarios!$A$26,0,$C$1),6,2)&gt;=MID(T$3,4,2)),IF(OFFSET(Scenarios!$A$29,0,$C$1)="Wage",1,OFFSET(Scenarios!$A$25,0,$C$1)),1)*T$215))</f>
        <v>45.76372310445715</v>
      </c>
      <c r="V47" s="58"/>
      <c r="W47" s="58"/>
      <c r="X47" s="58"/>
      <c r="Y47" s="58"/>
    </row>
    <row r="48" spans="1:25" s="304" customFormat="1" ht="12.75">
      <c r="A48" s="344" t="s">
        <v>923</v>
      </c>
      <c r="D48" s="247">
        <f>Data!C$135</f>
        <v>9.891</v>
      </c>
      <c r="E48" s="247">
        <f>Data!D$135</f>
        <v>10.122</v>
      </c>
      <c r="F48" s="224">
        <f>Data!E$135</f>
        <v>8.932</v>
      </c>
      <c r="G48" s="224">
        <f>Data!F$135</f>
        <v>8.841</v>
      </c>
      <c r="H48" s="224">
        <f>Data!G$135</f>
        <v>9.559</v>
      </c>
      <c r="I48" s="224">
        <f>Data!H$135</f>
        <v>10.035</v>
      </c>
      <c r="J48" s="224">
        <f>Data!I$135</f>
        <v>10.463</v>
      </c>
      <c r="K48" s="303">
        <f ca="1">IF(OFFSET(Scenarios!$A$49,0,$C$1)="Yes",IF(J$48/J$211&lt;OFFSET(Scenarios!$A$55,0,$C$1),MIN(J$48/J$211+OFFSET(Scenarios!$A$53,0,$C$1),OFFSET(Scenarios!$A$55,0,$C$1)),MAX(J$48/J$211-OFFSET(Scenarios!$A$53,0,$C$1),OFFSET(Scenarios!$A$55,0,$C$1)))*K$211,J$48*(1+K$212))</f>
        <v>11.37306374455229</v>
      </c>
      <c r="L48" s="303">
        <f ca="1">IF(OFFSET(Scenarios!$A$49,0,$C$1)="Yes",IF(K$48/K$211&lt;OFFSET(Scenarios!$A$55,0,$C$1),MIN(K$48/K$211+OFFSET(Scenarios!$A$53,0,$C$1),OFFSET(Scenarios!$A$55,0,$C$1)),MAX(K$48/K$211-OFFSET(Scenarios!$A$53,0,$C$1),OFFSET(Scenarios!$A$55,0,$C$1)))*L$211,K$48*(1+L$212))</f>
        <v>11.96010731636442</v>
      </c>
      <c r="M48" s="303">
        <f ca="1">IF(OFFSET(Scenarios!$A$49,0,$C$1)="Yes",IF(L$48/L$211&lt;OFFSET(Scenarios!$A$55,0,$C$1),MIN(L$48/L$211+OFFSET(Scenarios!$A$53,0,$C$1),OFFSET(Scenarios!$A$55,0,$C$1)),MAX(L$48/L$211-OFFSET(Scenarios!$A$53,0,$C$1),OFFSET(Scenarios!$A$55,0,$C$1)))*M$211,L$48*(1+M$212))</f>
        <v>12.478720017180557</v>
      </c>
      <c r="N48" s="303">
        <f ca="1">IF(OFFSET(Scenarios!$A$49,0,$C$1)="Yes",IF(M$48/M$211&lt;OFFSET(Scenarios!$A$55,0,$C$1),MIN(M$48/M$211+OFFSET(Scenarios!$A$53,0,$C$1),OFFSET(Scenarios!$A$55,0,$C$1)),MAX(M$48/M$211-OFFSET(Scenarios!$A$53,0,$C$1),OFFSET(Scenarios!$A$55,0,$C$1)))*N$211,M$48*(1+N$212))</f>
        <v>13.067786558639932</v>
      </c>
      <c r="O48" s="303">
        <f ca="1">IF(OFFSET(Scenarios!$A$49,0,$C$1)="Yes",IF(N$48/N$211&lt;OFFSET(Scenarios!$A$55,0,$C$1),MIN(N$48/N$211+OFFSET(Scenarios!$A$53,0,$C$1),OFFSET(Scenarios!$A$55,0,$C$1)),MAX(N$48/N$211-OFFSET(Scenarios!$A$53,0,$C$1),OFFSET(Scenarios!$A$55,0,$C$1)))*O$211,N$48*(1+O$212))</f>
        <v>13.669398483725795</v>
      </c>
      <c r="P48" s="303">
        <f ca="1">IF(OFFSET(Scenarios!$A$49,0,$C$1)="Yes",IF(O$48/O$211&lt;OFFSET(Scenarios!$A$55,0,$C$1),MIN(O$48/O$211+OFFSET(Scenarios!$A$53,0,$C$1),OFFSET(Scenarios!$A$55,0,$C$1)),MAX(O$48/O$211-OFFSET(Scenarios!$A$53,0,$C$1),OFFSET(Scenarios!$A$55,0,$C$1)))*P$211,O$48*(1+P$212))</f>
        <v>14.283837512967796</v>
      </c>
      <c r="Q48" s="303">
        <f ca="1">IF(OFFSET(Scenarios!$A$49,0,$C$1)="Yes",IF(P$48/P$211&lt;OFFSET(Scenarios!$A$55,0,$C$1),MIN(P$48/P$211+OFFSET(Scenarios!$A$53,0,$C$1),OFFSET(Scenarios!$A$55,0,$C$1)),MAX(P$48/P$211-OFFSET(Scenarios!$A$53,0,$C$1),OFFSET(Scenarios!$A$55,0,$C$1)))*Q$211,P$48*(1+Q$212))</f>
        <v>14.912550449149444</v>
      </c>
      <c r="R48" s="303">
        <f ca="1">IF(OFFSET(Scenarios!$A$49,0,$C$1)="Yes",IF(Q$48/Q$211&lt;OFFSET(Scenarios!$A$55,0,$C$1),MIN(Q$48/Q$211+OFFSET(Scenarios!$A$53,0,$C$1),OFFSET(Scenarios!$A$55,0,$C$1)),MAX(Q$48/Q$211-OFFSET(Scenarios!$A$53,0,$C$1),OFFSET(Scenarios!$A$55,0,$C$1)))*R$211,Q$48*(1+R$212))</f>
        <v>15.555389393852671</v>
      </c>
      <c r="S48" s="303">
        <f ca="1">IF(OFFSET(Scenarios!$A$49,0,$C$1)="Yes",IF(R$48/R$211&lt;OFFSET(Scenarios!$A$55,0,$C$1),MIN(R$48/R$211+OFFSET(Scenarios!$A$53,0,$C$1),OFFSET(Scenarios!$A$55,0,$C$1)),MAX(R$48/R$211-OFFSET(Scenarios!$A$53,0,$C$1),OFFSET(Scenarios!$A$55,0,$C$1)))*S$211,R$48*(1+S$212))</f>
        <v>16.21933999897656</v>
      </c>
      <c r="T48" s="303">
        <f ca="1">IF(OFFSET(Scenarios!$A$49,0,$C$1)="Yes",IF(S$48/S$211&lt;OFFSET(Scenarios!$A$55,0,$C$1),MIN(S$48/S$211+OFFSET(Scenarios!$A$53,0,$C$1),OFFSET(Scenarios!$A$55,0,$C$1)),MAX(S$48/S$211-OFFSET(Scenarios!$A$53,0,$C$1),OFFSET(Scenarios!$A$55,0,$C$1)))*T$211,S$48*(1+T$212))</f>
        <v>16.88545620192862</v>
      </c>
      <c r="V48" s="58"/>
      <c r="W48" s="58"/>
      <c r="X48" s="58"/>
      <c r="Y48" s="58"/>
    </row>
    <row r="49" spans="1:25" s="304" customFormat="1" ht="12.75">
      <c r="A49" s="344" t="s">
        <v>738</v>
      </c>
      <c r="D49" s="247">
        <f>SUM(Data!C$132:C$134,Data!C$136:C$138)</f>
        <v>22.193</v>
      </c>
      <c r="E49" s="247">
        <f>SUM(Data!D$132:D$134,Data!D$136:D$138)</f>
        <v>22.905</v>
      </c>
      <c r="F49" s="224">
        <f>SUM(Data!E$132:E$134,Data!E$136:E$138)</f>
        <v>23.533</v>
      </c>
      <c r="G49" s="224">
        <f>SUM(Data!F$132:F$134,Data!F$136:F$138)</f>
        <v>24.256</v>
      </c>
      <c r="H49" s="224">
        <f>SUM(Data!G$132:G$134,Data!G$136:G$138)</f>
        <v>24.705000000000002</v>
      </c>
      <c r="I49" s="224">
        <f>SUM(Data!H$132:H$134,Data!H$136:H$138)</f>
        <v>25.717</v>
      </c>
      <c r="J49" s="224">
        <f>SUM(Data!I$132:I$134,Data!I$136:I$138)</f>
        <v>26.71</v>
      </c>
      <c r="K49" s="303">
        <f ca="1">IF(OFFSET(Scenarios!$A$50,0,$C$1)="Yes",IF(J$49/J$211&lt;OFFSET(Scenarios!$A$56,0,$C$1),MIN(J$49/J$211+OFFSET(Scenarios!$A$53,0,$C$1),OFFSET(Scenarios!$A$56,0,$C$1)),MAX(J$49/J$211-OFFSET(Scenarios!$A$53,0,$C$1),OFFSET(Scenarios!$A$56,0,$C$1)))*K$211,J$49*(1+K$212))</f>
        <v>27.85862203832245</v>
      </c>
      <c r="L49" s="303">
        <f ca="1">IF(OFFSET(Scenarios!$A$50,0,$C$1)="Yes",IF(K$49/K$211&lt;OFFSET(Scenarios!$A$56,0,$C$1),MIN(K$49/K$211+OFFSET(Scenarios!$A$53,0,$C$1),OFFSET(Scenarios!$A$56,0,$C$1)),MAX(K$49/K$211-OFFSET(Scenarios!$A$53,0,$C$1),OFFSET(Scenarios!$A$56,0,$C$1)))*L$211,K$49*(1+L$212))</f>
        <v>28.965753051134346</v>
      </c>
      <c r="M49" s="303">
        <f ca="1">IF(OFFSET(Scenarios!$A$50,0,$C$1)="Yes",IF(L$49/L$211&lt;OFFSET(Scenarios!$A$56,0,$C$1),MIN(L$49/L$211+OFFSET(Scenarios!$A$53,0,$C$1),OFFSET(Scenarios!$A$56,0,$C$1)),MAX(L$49/L$211-OFFSET(Scenarios!$A$53,0,$C$1),OFFSET(Scenarios!$A$56,0,$C$1)))*M$211,L$49*(1+M$212))</f>
        <v>30.22176246841342</v>
      </c>
      <c r="N49" s="303">
        <f ca="1">IF(OFFSET(Scenarios!$A$50,0,$C$1)="Yes",IF(M$49/M$211&lt;OFFSET(Scenarios!$A$56,0,$C$1),MIN(M$49/M$211+OFFSET(Scenarios!$A$53,0,$C$1),OFFSET(Scenarios!$A$56,0,$C$1)),MAX(M$49/M$211-OFFSET(Scenarios!$A$53,0,$C$1),OFFSET(Scenarios!$A$56,0,$C$1)))*N$211,M$49*(1+N$212))</f>
        <v>31.648401504273238</v>
      </c>
      <c r="O49" s="303">
        <f ca="1">IF(OFFSET(Scenarios!$A$50,0,$C$1)="Yes",IF(N$49/N$211&lt;OFFSET(Scenarios!$A$56,0,$C$1),MIN(N$49/N$211+OFFSET(Scenarios!$A$53,0,$C$1),OFFSET(Scenarios!$A$56,0,$C$1)),MAX(N$49/N$211-OFFSET(Scenarios!$A$53,0,$C$1),OFFSET(Scenarios!$A$56,0,$C$1)))*O$211,N$49*(1+O$212))</f>
        <v>33.10542375279532</v>
      </c>
      <c r="P49" s="303">
        <f ca="1">IF(OFFSET(Scenarios!$A$50,0,$C$1)="Yes",IF(O$49/O$211&lt;OFFSET(Scenarios!$A$56,0,$C$1),MIN(O$49/O$211+OFFSET(Scenarios!$A$53,0,$C$1),OFFSET(Scenarios!$A$56,0,$C$1)),MAX(O$49/O$211-OFFSET(Scenarios!$A$53,0,$C$1),OFFSET(Scenarios!$A$56,0,$C$1)))*P$211,O$49*(1+P$212))</f>
        <v>34.59351150278154</v>
      </c>
      <c r="Q49" s="303">
        <f ca="1">IF(OFFSET(Scenarios!$A$50,0,$C$1)="Yes",IF(P$49/P$211&lt;OFFSET(Scenarios!$A$56,0,$C$1),MIN(P$49/P$211+OFFSET(Scenarios!$A$53,0,$C$1),OFFSET(Scenarios!$A$56,0,$C$1)),MAX(P$49/P$211-OFFSET(Scenarios!$A$53,0,$C$1),OFFSET(Scenarios!$A$56,0,$C$1)))*Q$211,P$49*(1+Q$212))</f>
        <v>36.116168713772765</v>
      </c>
      <c r="R49" s="303">
        <f ca="1">IF(OFFSET(Scenarios!$A$50,0,$C$1)="Yes",IF(Q$49/Q$211&lt;OFFSET(Scenarios!$A$56,0,$C$1),MIN(Q$49/Q$211+OFFSET(Scenarios!$A$53,0,$C$1),OFFSET(Scenarios!$A$56,0,$C$1)),MAX(Q$49/Q$211-OFFSET(Scenarios!$A$53,0,$C$1),OFFSET(Scenarios!$A$56,0,$C$1)))*R$211,Q$49*(1+R$212))</f>
        <v>37.673037195918255</v>
      </c>
      <c r="S49" s="303">
        <f ca="1">IF(OFFSET(Scenarios!$A$50,0,$C$1)="Yes",IF(R$49/R$211&lt;OFFSET(Scenarios!$A$56,0,$C$1),MIN(R$49/R$211+OFFSET(Scenarios!$A$53,0,$C$1),OFFSET(Scenarios!$A$56,0,$C$1)),MAX(R$49/R$211-OFFSET(Scenarios!$A$53,0,$C$1),OFFSET(Scenarios!$A$56,0,$C$1)))*S$211,R$49*(1+S$212))</f>
        <v>39.28103524789693</v>
      </c>
      <c r="T49" s="303">
        <f ca="1">IF(OFFSET(Scenarios!$A$50,0,$C$1)="Yes",IF(S$49/S$211&lt;OFFSET(Scenarios!$A$56,0,$C$1),MIN(S$49/S$211+OFFSET(Scenarios!$A$53,0,$C$1),OFFSET(Scenarios!$A$56,0,$C$1)),MAX(S$49/S$211-OFFSET(Scenarios!$A$53,0,$C$1),OFFSET(Scenarios!$A$56,0,$C$1)))*T$211,S$49*(1+T$212))</f>
        <v>40.894278083240785</v>
      </c>
      <c r="V49" s="58"/>
      <c r="W49" s="58"/>
      <c r="X49" s="58"/>
      <c r="Y49" s="58"/>
    </row>
    <row r="50" spans="1:25" s="304" customFormat="1" ht="12.75">
      <c r="A50" s="382" t="s">
        <v>739</v>
      </c>
      <c r="D50" s="141">
        <f aca="true" t="shared" si="24" ref="D50:T50">SUM(D$47:D$49)</f>
        <v>53.06400000000001</v>
      </c>
      <c r="E50" s="141">
        <f t="shared" si="24"/>
        <v>56.372</v>
      </c>
      <c r="F50" s="390">
        <f t="shared" si="24"/>
        <v>55.538000000000004</v>
      </c>
      <c r="G50" s="390">
        <f t="shared" si="24"/>
        <v>56.8</v>
      </c>
      <c r="H50" s="390">
        <f t="shared" si="24"/>
        <v>58.67400000000001</v>
      </c>
      <c r="I50" s="390">
        <f t="shared" si="24"/>
        <v>61.269</v>
      </c>
      <c r="J50" s="390">
        <f t="shared" si="24"/>
        <v>64.374</v>
      </c>
      <c r="K50" s="148">
        <f t="shared" si="24"/>
        <v>68.13686610840297</v>
      </c>
      <c r="L50" s="148">
        <f t="shared" si="24"/>
        <v>71.56414108261139</v>
      </c>
      <c r="M50" s="148">
        <f t="shared" si="24"/>
        <v>75.15816292799808</v>
      </c>
      <c r="N50" s="148">
        <f t="shared" si="24"/>
        <v>79.06984599497926</v>
      </c>
      <c r="O50" s="148">
        <f t="shared" si="24"/>
        <v>83.08060240952639</v>
      </c>
      <c r="P50" s="148">
        <f t="shared" si="24"/>
        <v>87.23558583730139</v>
      </c>
      <c r="Q50" s="148">
        <f t="shared" si="24"/>
        <v>91.54633254446509</v>
      </c>
      <c r="R50" s="148">
        <f t="shared" si="24"/>
        <v>95.43186618081178</v>
      </c>
      <c r="S50" s="148">
        <f t="shared" si="24"/>
        <v>99.45876024836554</v>
      </c>
      <c r="T50" s="148">
        <f t="shared" si="24"/>
        <v>103.54345738962655</v>
      </c>
      <c r="V50" s="58"/>
      <c r="W50" s="58"/>
      <c r="X50" s="58"/>
      <c r="Y50" s="58"/>
    </row>
    <row r="51" spans="1:25" s="304" customFormat="1" ht="12.75">
      <c r="A51" s="389" t="s">
        <v>486</v>
      </c>
      <c r="D51" s="247">
        <f aca="true" t="shared" si="25" ref="D51:J51">D$52-D$50</f>
        <v>0.4129999999999896</v>
      </c>
      <c r="E51" s="247">
        <f t="shared" si="25"/>
        <v>0.5330000000000013</v>
      </c>
      <c r="F51" s="224">
        <f t="shared" si="25"/>
        <v>0.519999999999996</v>
      </c>
      <c r="G51" s="224">
        <f t="shared" si="25"/>
        <v>0.615000000000002</v>
      </c>
      <c r="H51" s="224">
        <f t="shared" si="25"/>
        <v>0.5939999999999941</v>
      </c>
      <c r="I51" s="224">
        <f t="shared" si="25"/>
        <v>0.6240000000000023</v>
      </c>
      <c r="J51" s="224">
        <f t="shared" si="25"/>
        <v>0.710000000000008</v>
      </c>
      <c r="K51" s="303">
        <f aca="true" t="shared" si="26" ref="K51:T51">J$51*(1+K$212)</f>
        <v>0.7405324465447084</v>
      </c>
      <c r="L51" s="303">
        <f t="shared" si="26"/>
        <v>0.7699619867579788</v>
      </c>
      <c r="M51" s="303">
        <f t="shared" si="26"/>
        <v>0.8033489836231287</v>
      </c>
      <c r="N51" s="303">
        <f t="shared" si="26"/>
        <v>0.8412716236628323</v>
      </c>
      <c r="O51" s="303">
        <f t="shared" si="26"/>
        <v>0.8800019043236591</v>
      </c>
      <c r="P51" s="303">
        <f t="shared" si="26"/>
        <v>0.9195579620731997</v>
      </c>
      <c r="Q51" s="303">
        <f t="shared" si="26"/>
        <v>0.9600329384791818</v>
      </c>
      <c r="R51" s="303">
        <f t="shared" si="26"/>
        <v>1.0014173122089949</v>
      </c>
      <c r="S51" s="303">
        <f t="shared" si="26"/>
        <v>1.0441608021717381</v>
      </c>
      <c r="T51" s="303">
        <f t="shared" si="26"/>
        <v>1.0870437079408939</v>
      </c>
      <c r="V51" s="58"/>
      <c r="W51" s="58"/>
      <c r="X51" s="58"/>
      <c r="Y51" s="58"/>
    </row>
    <row r="52" spans="1:25" s="304" customFormat="1" ht="12.75">
      <c r="A52" s="382" t="s">
        <v>930</v>
      </c>
      <c r="D52" s="141">
        <f>Data!C$104</f>
        <v>53.477</v>
      </c>
      <c r="E52" s="141">
        <f>Data!D$104</f>
        <v>56.905</v>
      </c>
      <c r="F52" s="390">
        <f>Data!E$104</f>
        <v>56.058</v>
      </c>
      <c r="G52" s="390">
        <f>Data!F$104</f>
        <v>57.415</v>
      </c>
      <c r="H52" s="390">
        <f>Data!G$104</f>
        <v>59.268</v>
      </c>
      <c r="I52" s="390">
        <f>Data!H$104</f>
        <v>61.893</v>
      </c>
      <c r="J52" s="390">
        <f>Data!I$104</f>
        <v>65.084</v>
      </c>
      <c r="K52" s="148">
        <f aca="true" t="shared" si="27" ref="K52:T52">SUM(K$50,K$51)</f>
        <v>68.87739855494767</v>
      </c>
      <c r="L52" s="148">
        <f t="shared" si="27"/>
        <v>72.33410306936936</v>
      </c>
      <c r="M52" s="148">
        <f t="shared" si="27"/>
        <v>75.9615119116212</v>
      </c>
      <c r="N52" s="148">
        <f t="shared" si="27"/>
        <v>79.9111176186421</v>
      </c>
      <c r="O52" s="148">
        <f t="shared" si="27"/>
        <v>83.96060431385006</v>
      </c>
      <c r="P52" s="148">
        <f t="shared" si="27"/>
        <v>88.15514379937459</v>
      </c>
      <c r="Q52" s="148">
        <f t="shared" si="27"/>
        <v>92.50636548294428</v>
      </c>
      <c r="R52" s="148">
        <f t="shared" si="27"/>
        <v>96.43328349302078</v>
      </c>
      <c r="S52" s="148">
        <f t="shared" si="27"/>
        <v>100.50292105053727</v>
      </c>
      <c r="T52" s="148">
        <f t="shared" si="27"/>
        <v>104.63050109756745</v>
      </c>
      <c r="V52" s="58"/>
      <c r="W52" s="58"/>
      <c r="X52" s="58"/>
      <c r="Y52" s="58"/>
    </row>
    <row r="53" spans="1:25" s="304" customFormat="1" ht="12.75">
      <c r="A53" s="382"/>
      <c r="D53" s="141"/>
      <c r="E53" s="141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148"/>
      <c r="Q53" s="148"/>
      <c r="R53" s="148"/>
      <c r="S53" s="148"/>
      <c r="T53" s="148"/>
      <c r="V53" s="58"/>
      <c r="W53" s="58"/>
      <c r="X53" s="58"/>
      <c r="Y53" s="58"/>
    </row>
    <row r="54" spans="1:25" s="304" customFormat="1" ht="12.75">
      <c r="A54" s="394" t="s">
        <v>487</v>
      </c>
      <c r="D54" s="141"/>
      <c r="E54" s="141"/>
      <c r="F54" s="141"/>
      <c r="G54" s="141"/>
      <c r="H54" s="141"/>
      <c r="I54" s="141"/>
      <c r="J54" s="141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V54" s="58"/>
      <c r="W54" s="58"/>
      <c r="X54" s="58"/>
      <c r="Y54" s="58"/>
    </row>
    <row r="55" spans="1:25" s="304" customFormat="1" ht="12.75">
      <c r="A55" s="382" t="s">
        <v>488</v>
      </c>
      <c r="D55" s="141">
        <f>SUM(Data!C$6,Data!C$8,Data!C$10)-D$57</f>
        <v>18.529999999999998</v>
      </c>
      <c r="E55" s="141">
        <f>SUM(Data!D$6,Data!D$8,Data!D$10)-E$57</f>
        <v>21.893</v>
      </c>
      <c r="F55" s="390">
        <f>SUM(Data!E$6,Data!E$8,Data!E$10)-F$57</f>
        <v>22.235999999999997</v>
      </c>
      <c r="G55" s="390">
        <f>SUM(Data!F$6,Data!F$8,Data!F$10)-G$57</f>
        <v>23.563</v>
      </c>
      <c r="H55" s="390">
        <f>SUM(Data!G$6,Data!G$8,Data!G$10)-H$57</f>
        <v>24.88</v>
      </c>
      <c r="I55" s="390">
        <f>SUM(Data!H$6,Data!H$8,Data!H$10)-I$57</f>
        <v>25.432</v>
      </c>
      <c r="J55" s="390">
        <f>SUM(Data!I$6,Data!I$8,Data!I$10)-J$57</f>
        <v>26.466</v>
      </c>
      <c r="K55" s="148">
        <f aca="true" t="shared" si="28" ref="K55:T55">(J$55)*(1+K$212)</f>
        <v>27.60412919753808</v>
      </c>
      <c r="L55" s="148">
        <f t="shared" si="28"/>
        <v>28.701146396530202</v>
      </c>
      <c r="M55" s="148">
        <f t="shared" si="28"/>
        <v>29.945681972633086</v>
      </c>
      <c r="N55" s="148">
        <f t="shared" si="28"/>
        <v>31.359288439239823</v>
      </c>
      <c r="O55" s="148">
        <f t="shared" si="28"/>
        <v>32.80300056314043</v>
      </c>
      <c r="P55" s="148">
        <f t="shared" si="28"/>
        <v>34.27749440032259</v>
      </c>
      <c r="Q55" s="148">
        <f t="shared" si="28"/>
        <v>35.78624190111232</v>
      </c>
      <c r="R55" s="148">
        <f t="shared" si="28"/>
        <v>37.32888814777883</v>
      </c>
      <c r="S55" s="148">
        <f t="shared" si="28"/>
        <v>38.922196887713966</v>
      </c>
      <c r="T55" s="148">
        <f t="shared" si="28"/>
        <v>40.52070249910335</v>
      </c>
      <c r="V55" s="58"/>
      <c r="W55" s="58"/>
      <c r="X55" s="58"/>
      <c r="Y55" s="58"/>
    </row>
    <row r="56" spans="1:25" s="304" customFormat="1" ht="12.75">
      <c r="A56" s="382" t="s">
        <v>489</v>
      </c>
      <c r="D56" s="141">
        <f>SUM(Data!C$105,Data!C$107,Data!C$109)</f>
        <v>2.154</v>
      </c>
      <c r="E56" s="141">
        <f>SUM(Data!D$105,Data!D$107,Data!D$109)</f>
        <v>2.728</v>
      </c>
      <c r="F56" s="390">
        <f>SUM(Data!E$105,Data!E$107,Data!E$109)</f>
        <v>2.414</v>
      </c>
      <c r="G56" s="390">
        <f>SUM(Data!F$105,Data!F$107,Data!F$109)</f>
        <v>2.4090000000000003</v>
      </c>
      <c r="H56" s="390">
        <f>SUM(Data!G$105,Data!G$107,Data!G$109)</f>
        <v>2.444</v>
      </c>
      <c r="I56" s="390">
        <f>SUM(Data!H$105,Data!H$107,Data!H$109)</f>
        <v>2.4819999999999998</v>
      </c>
      <c r="J56" s="390">
        <f>SUM(Data!I$105,Data!I$107,Data!I$109)</f>
        <v>2.473</v>
      </c>
      <c r="K56" s="148">
        <f aca="true" t="shared" si="29" ref="K56:T56">J$56*(1+K$215)</f>
        <v>2.527918360775785</v>
      </c>
      <c r="L56" s="148">
        <f t="shared" si="29"/>
        <v>2.579000466856019</v>
      </c>
      <c r="M56" s="148">
        <f t="shared" si="29"/>
        <v>2.6305804761931393</v>
      </c>
      <c r="N56" s="148">
        <f t="shared" si="29"/>
        <v>2.683192085717002</v>
      </c>
      <c r="O56" s="148">
        <f t="shared" si="29"/>
        <v>2.736855927431342</v>
      </c>
      <c r="P56" s="148">
        <f t="shared" si="29"/>
        <v>2.791593045979969</v>
      </c>
      <c r="Q56" s="148">
        <f t="shared" si="29"/>
        <v>2.8474249068995685</v>
      </c>
      <c r="R56" s="148">
        <f t="shared" si="29"/>
        <v>2.90437340503756</v>
      </c>
      <c r="S56" s="148">
        <f t="shared" si="29"/>
        <v>2.962460873138311</v>
      </c>
      <c r="T56" s="148">
        <f t="shared" si="29"/>
        <v>3.0217100906010774</v>
      </c>
      <c r="V56" s="58"/>
      <c r="W56" s="58"/>
      <c r="X56" s="58"/>
      <c r="Y56" s="58"/>
    </row>
    <row r="57" spans="1:25" s="304" customFormat="1" ht="12.75">
      <c r="A57" s="382" t="s">
        <v>25</v>
      </c>
      <c r="D57" s="141">
        <f>Data!C106</f>
        <v>0</v>
      </c>
      <c r="E57" s="141">
        <f>Data!D106</f>
        <v>0</v>
      </c>
      <c r="F57" s="390">
        <f>Data!E106</f>
        <v>0.088</v>
      </c>
      <c r="G57" s="390">
        <f>Data!F106</f>
        <v>0.414</v>
      </c>
      <c r="H57" s="390">
        <f>Data!G106</f>
        <v>0.846</v>
      </c>
      <c r="I57" s="390">
        <f>Data!H106</f>
        <v>1.044</v>
      </c>
      <c r="J57" s="390">
        <f>Data!I106</f>
        <v>1.577</v>
      </c>
      <c r="K57" s="148">
        <f>Tracks!H$116</f>
        <v>1.35</v>
      </c>
      <c r="L57" s="148">
        <f>Tracks!I$116</f>
        <v>1.35</v>
      </c>
      <c r="M57" s="148">
        <f>Tracks!J$116</f>
        <v>1.35</v>
      </c>
      <c r="N57" s="148">
        <f>Tracks!K$116</f>
        <v>1.35</v>
      </c>
      <c r="O57" s="148">
        <f>Tracks!L$116</f>
        <v>1.35</v>
      </c>
      <c r="P57" s="148">
        <f>Tracks!M$116</f>
        <v>1.2479166666666666</v>
      </c>
      <c r="Q57" s="148">
        <f>Tracks!N$116</f>
        <v>1.1458333333333335</v>
      </c>
      <c r="R57" s="148">
        <f>Tracks!O$116</f>
        <v>1.04375</v>
      </c>
      <c r="S57" s="148">
        <f>Tracks!P$116</f>
        <v>0.9416666666666667</v>
      </c>
      <c r="T57" s="148">
        <f>Tracks!Q$116</f>
        <v>0.8395833333333333</v>
      </c>
      <c r="V57" s="58"/>
      <c r="W57" s="58"/>
      <c r="X57" s="58"/>
      <c r="Y57" s="58"/>
    </row>
    <row r="58" spans="1:25" s="304" customFormat="1" ht="12.75">
      <c r="A58" s="302"/>
      <c r="D58" s="247"/>
      <c r="E58" s="247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V58" s="58"/>
      <c r="W58" s="58"/>
      <c r="X58" s="58"/>
      <c r="Y58" s="58"/>
    </row>
    <row r="59" spans="1:25" s="304" customFormat="1" ht="12.75">
      <c r="A59" s="394" t="s">
        <v>490</v>
      </c>
      <c r="D59" s="387"/>
      <c r="E59" s="387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V59" s="58"/>
      <c r="W59" s="58"/>
      <c r="X59" s="58"/>
      <c r="Y59" s="58"/>
    </row>
    <row r="60" spans="1:25" s="304" customFormat="1" ht="12.75">
      <c r="A60" s="302" t="s">
        <v>127</v>
      </c>
      <c r="D60" s="247">
        <f>Data!C$108-SUM(D$61:D$63)</f>
        <v>1.4801190000000002</v>
      </c>
      <c r="E60" s="247">
        <f>Data!D$108-SUM(E$61:E$63)</f>
        <v>0.8885649999999998</v>
      </c>
      <c r="F60" s="224">
        <f>Data!E$108-SUM(F$61:F$63)</f>
        <v>1.5741339999999997</v>
      </c>
      <c r="G60" s="224">
        <f>Data!F$108-SUM(G$61:G$63)</f>
        <v>1.203605</v>
      </c>
      <c r="H60" s="224">
        <f>Data!G$108-SUM(H$61:H$63)</f>
        <v>1.4063259999999997</v>
      </c>
      <c r="I60" s="224">
        <f>Data!H$108-SUM(I$61:I$63)</f>
        <v>1.4709539999999999</v>
      </c>
      <c r="J60" s="224">
        <f>Data!I$108-SUM(J$61:J$63)</f>
        <v>1.3778520000000003</v>
      </c>
      <c r="K60" s="303">
        <f aca="true" t="shared" si="30" ref="K60:T60">(J$141+J162)*K$218</f>
        <v>1.0277843999999998</v>
      </c>
      <c r="L60" s="303">
        <f t="shared" si="30"/>
        <v>1.0277843999999998</v>
      </c>
      <c r="M60" s="303">
        <f t="shared" si="30"/>
        <v>1.0277843999999998</v>
      </c>
      <c r="N60" s="303">
        <f t="shared" si="30"/>
        <v>1.0277843999999998</v>
      </c>
      <c r="O60" s="303">
        <f t="shared" si="30"/>
        <v>1.0277843999999998</v>
      </c>
      <c r="P60" s="303">
        <f t="shared" si="30"/>
        <v>1.0277843999999998</v>
      </c>
      <c r="Q60" s="303">
        <f t="shared" si="30"/>
        <v>1.0277843999999998</v>
      </c>
      <c r="R60" s="303">
        <f t="shared" si="30"/>
        <v>1.0277843999999998</v>
      </c>
      <c r="S60" s="303">
        <f t="shared" si="30"/>
        <v>1.0277843999999998</v>
      </c>
      <c r="T60" s="303">
        <f t="shared" si="30"/>
        <v>1.0277843999999998</v>
      </c>
      <c r="V60" s="58"/>
      <c r="W60" s="58"/>
      <c r="X60" s="58"/>
      <c r="Y60" s="58"/>
    </row>
    <row r="61" spans="1:25" s="304" customFormat="1" ht="12.75">
      <c r="A61" s="302" t="s">
        <v>126</v>
      </c>
      <c r="D61" s="247">
        <f aca="true" t="shared" si="31" ref="D61:T61">D$113-D$121</f>
        <v>0.418881</v>
      </c>
      <c r="E61" s="247">
        <f t="shared" si="31"/>
        <v>0.347435</v>
      </c>
      <c r="F61" s="392">
        <f t="shared" si="31"/>
        <v>0.395866</v>
      </c>
      <c r="G61" s="392">
        <f t="shared" si="31"/>
        <v>0.447395</v>
      </c>
      <c r="H61" s="392">
        <f t="shared" si="31"/>
        <v>0.5176740000000001</v>
      </c>
      <c r="I61" s="392">
        <f t="shared" si="31"/>
        <v>0.5920460000000001</v>
      </c>
      <c r="J61" s="392">
        <f t="shared" si="31"/>
        <v>0.667148</v>
      </c>
      <c r="K61" s="303">
        <f t="shared" si="31"/>
        <v>0.731774569595751</v>
      </c>
      <c r="L61" s="303">
        <f t="shared" si="31"/>
        <v>0.8184330091088323</v>
      </c>
      <c r="M61" s="303">
        <f t="shared" si="31"/>
        <v>0.9093450607386316</v>
      </c>
      <c r="N61" s="303">
        <f t="shared" si="31"/>
        <v>1.0057367121723926</v>
      </c>
      <c r="O61" s="303">
        <f t="shared" si="31"/>
        <v>1.1083161729479114</v>
      </c>
      <c r="P61" s="303">
        <f t="shared" si="31"/>
        <v>1.2171073112112014</v>
      </c>
      <c r="Q61" s="303">
        <f t="shared" si="31"/>
        <v>1.3319901076167702</v>
      </c>
      <c r="R61" s="303">
        <f t="shared" si="31"/>
        <v>1.4521472683264254</v>
      </c>
      <c r="S61" s="303">
        <f t="shared" si="31"/>
        <v>1.5765981467171457</v>
      </c>
      <c r="T61" s="303">
        <f t="shared" si="31"/>
        <v>1.7049119356160827</v>
      </c>
      <c r="V61" s="58"/>
      <c r="W61" s="58"/>
      <c r="X61" s="58"/>
      <c r="Y61" s="58"/>
    </row>
    <row r="62" spans="1:25" s="304" customFormat="1" ht="12.75">
      <c r="A62" s="302" t="s">
        <v>130</v>
      </c>
      <c r="D62" s="247">
        <f aca="true" t="shared" si="32" ref="D62:T62">D$155</f>
        <v>0.36</v>
      </c>
      <c r="E62" s="247">
        <f t="shared" si="32"/>
        <v>0.407</v>
      </c>
      <c r="F62" s="392">
        <f t="shared" si="32"/>
        <v>0.452</v>
      </c>
      <c r="G62" s="392">
        <f t="shared" si="32"/>
        <v>0.483</v>
      </c>
      <c r="H62" s="392">
        <f t="shared" si="32"/>
        <v>0.51</v>
      </c>
      <c r="I62" s="392">
        <f t="shared" si="32"/>
        <v>0.539</v>
      </c>
      <c r="J62" s="392">
        <f t="shared" si="32"/>
        <v>0.568</v>
      </c>
      <c r="K62" s="303">
        <f t="shared" si="32"/>
        <v>0.5951786518327443</v>
      </c>
      <c r="L62" s="303">
        <f t="shared" si="32"/>
        <v>0.6216165016350962</v>
      </c>
      <c r="M62" s="303">
        <f t="shared" si="32"/>
        <v>0.6473097937422013</v>
      </c>
      <c r="N62" s="303">
        <f t="shared" si="32"/>
        <v>0.6722665353302332</v>
      </c>
      <c r="O62" s="303">
        <f t="shared" si="32"/>
        <v>0.6965043102457689</v>
      </c>
      <c r="P62" s="303">
        <f t="shared" si="32"/>
        <v>0.7200483074782938</v>
      </c>
      <c r="Q62" s="303">
        <f t="shared" si="32"/>
        <v>0.7429295778013747</v>
      </c>
      <c r="R62" s="303">
        <f t="shared" si="32"/>
        <v>0.7651835190413887</v>
      </c>
      <c r="S62" s="303">
        <f t="shared" si="32"/>
        <v>0.7868485812635443</v>
      </c>
      <c r="T62" s="303">
        <f t="shared" si="32"/>
        <v>0.8079978859862095</v>
      </c>
      <c r="V62" s="58"/>
      <c r="W62" s="58"/>
      <c r="X62" s="58"/>
      <c r="Y62" s="58"/>
    </row>
    <row r="63" spans="1:25" s="304" customFormat="1" ht="12.75">
      <c r="A63" s="302" t="s">
        <v>815</v>
      </c>
      <c r="D63" s="247">
        <f>SUM(Data!C$199,Data!C$200)</f>
        <v>0.321</v>
      </c>
      <c r="E63" s="247">
        <f>SUM(Data!D$199,Data!D$200)</f>
        <v>0.701</v>
      </c>
      <c r="F63" s="224">
        <f>SUM(Data!E$199,Data!E$200)</f>
        <v>0.225</v>
      </c>
      <c r="G63" s="224">
        <f>SUM(Data!F$199,Data!F$200)</f>
        <v>0.516</v>
      </c>
      <c r="H63" s="224">
        <f>SUM(Data!G$199,Data!G$200)</f>
        <v>0.43</v>
      </c>
      <c r="I63" s="224">
        <f>SUM(Data!H$199,Data!H$200)</f>
        <v>0.387</v>
      </c>
      <c r="J63" s="224">
        <f>SUM(Data!I$199,Data!I$200)</f>
        <v>0.414</v>
      </c>
      <c r="K63" s="303">
        <f aca="true" t="shared" si="33" ref="K63:T63">J$63*(1+K$212)</f>
        <v>0.4318034265767688</v>
      </c>
      <c r="L63" s="303">
        <f t="shared" si="33"/>
        <v>0.44896375002506994</v>
      </c>
      <c r="M63" s="303">
        <f t="shared" si="33"/>
        <v>0.4684316608731994</v>
      </c>
      <c r="N63" s="303">
        <f t="shared" si="33"/>
        <v>0.49054429886818124</v>
      </c>
      <c r="O63" s="303">
        <f t="shared" si="33"/>
        <v>0.5131278709718181</v>
      </c>
      <c r="P63" s="303">
        <f t="shared" si="33"/>
        <v>0.5361929525328176</v>
      </c>
      <c r="Q63" s="303">
        <f t="shared" si="33"/>
        <v>0.5597938542681364</v>
      </c>
      <c r="R63" s="303">
        <f t="shared" si="33"/>
        <v>0.5839250243021399</v>
      </c>
      <c r="S63" s="303">
        <f t="shared" si="33"/>
        <v>0.6088486930973166</v>
      </c>
      <c r="T63" s="303">
        <f t="shared" si="33"/>
        <v>0.6338536550528522</v>
      </c>
      <c r="V63" s="58"/>
      <c r="W63" s="58"/>
      <c r="X63" s="58"/>
      <c r="Y63" s="58"/>
    </row>
    <row r="64" spans="1:25" s="304" customFormat="1" ht="12.75">
      <c r="A64" s="382" t="s">
        <v>136</v>
      </c>
      <c r="D64" s="141">
        <f aca="true" t="shared" si="34" ref="D64:T64">SUM(D$60:D$63)</f>
        <v>2.5800000000000005</v>
      </c>
      <c r="E64" s="141">
        <f t="shared" si="34"/>
        <v>2.344</v>
      </c>
      <c r="F64" s="390">
        <f t="shared" si="34"/>
        <v>2.647</v>
      </c>
      <c r="G64" s="390">
        <f t="shared" si="34"/>
        <v>2.65</v>
      </c>
      <c r="H64" s="390">
        <f t="shared" si="34"/>
        <v>2.8640000000000003</v>
      </c>
      <c r="I64" s="390">
        <f t="shared" si="34"/>
        <v>2.989</v>
      </c>
      <c r="J64" s="390">
        <f t="shared" si="34"/>
        <v>3.0270000000000006</v>
      </c>
      <c r="K64" s="148">
        <f t="shared" si="34"/>
        <v>2.7865410480052644</v>
      </c>
      <c r="L64" s="148">
        <f t="shared" si="34"/>
        <v>2.9167976607689985</v>
      </c>
      <c r="M64" s="148">
        <f t="shared" si="34"/>
        <v>3.052870915354032</v>
      </c>
      <c r="N64" s="148">
        <f t="shared" si="34"/>
        <v>3.196331946370807</v>
      </c>
      <c r="O64" s="148">
        <f t="shared" si="34"/>
        <v>3.345732754165498</v>
      </c>
      <c r="P64" s="148">
        <f t="shared" si="34"/>
        <v>3.5011329712223125</v>
      </c>
      <c r="Q64" s="148">
        <f t="shared" si="34"/>
        <v>3.662497939686281</v>
      </c>
      <c r="R64" s="148">
        <f t="shared" si="34"/>
        <v>3.8290402116699536</v>
      </c>
      <c r="S64" s="148">
        <f t="shared" si="34"/>
        <v>4.000079821078007</v>
      </c>
      <c r="T64" s="148">
        <f t="shared" si="34"/>
        <v>4.174547876655144</v>
      </c>
      <c r="V64" s="58"/>
      <c r="W64" s="58"/>
      <c r="X64" s="58"/>
      <c r="Y64" s="58"/>
    </row>
    <row r="65" spans="1:25" s="304" customFormat="1" ht="12.75">
      <c r="A65" s="302" t="s">
        <v>274</v>
      </c>
      <c r="D65" s="247">
        <f aca="true" t="shared" si="35" ref="D65:J65">SUM(D$128,D$137)</f>
        <v>0.507456</v>
      </c>
      <c r="E65" s="247">
        <f t="shared" si="35"/>
        <v>0.8827659999999999</v>
      </c>
      <c r="F65" s="224">
        <f t="shared" si="35"/>
        <v>0.8486739999999999</v>
      </c>
      <c r="G65" s="224">
        <f t="shared" si="35"/>
        <v>0.905359</v>
      </c>
      <c r="H65" s="224">
        <f t="shared" si="35"/>
        <v>0.963717</v>
      </c>
      <c r="I65" s="224">
        <f t="shared" si="35"/>
        <v>1.013865</v>
      </c>
      <c r="J65" s="224">
        <f t="shared" si="35"/>
        <v>1.051427</v>
      </c>
      <c r="K65" s="303">
        <f>SUM(K$128,K$137)</f>
        <v>1.1110944071429614</v>
      </c>
      <c r="L65" s="303">
        <f aca="true" t="shared" si="36" ref="L65:T65">SUM(L$128,L$137)+K164*L$218*0</f>
        <v>1.1825144292682561</v>
      </c>
      <c r="M65" s="303">
        <f t="shared" si="36"/>
        <v>1.2585348733723298</v>
      </c>
      <c r="N65" s="303">
        <f t="shared" si="36"/>
        <v>1.3394527058623726</v>
      </c>
      <c r="O65" s="303">
        <f t="shared" si="36"/>
        <v>1.4255841049761744</v>
      </c>
      <c r="P65" s="303">
        <f t="shared" si="36"/>
        <v>1.517265706437534</v>
      </c>
      <c r="Q65" s="303">
        <f t="shared" si="36"/>
        <v>1.614855930059777</v>
      </c>
      <c r="R65" s="303">
        <f t="shared" si="36"/>
        <v>1.7187363925697152</v>
      </c>
      <c r="S65" s="303">
        <f t="shared" si="36"/>
        <v>1.8293134122685575</v>
      </c>
      <c r="T65" s="303">
        <f t="shared" si="36"/>
        <v>1.947019611512991</v>
      </c>
      <c r="V65" s="58"/>
      <c r="W65" s="58"/>
      <c r="X65" s="58"/>
      <c r="Y65" s="58"/>
    </row>
    <row r="66" spans="1:25" s="304" customFormat="1" ht="12.75">
      <c r="A66" s="391" t="s">
        <v>493</v>
      </c>
      <c r="D66" s="247">
        <f>SUM(D$64:D$65)-Data!C$9</f>
        <v>0.09245600000000032</v>
      </c>
      <c r="E66" s="247">
        <f>SUM(E$64:E$65)-Data!D$9</f>
        <v>0.012765999999999611</v>
      </c>
      <c r="F66" s="224">
        <f>SUM(F$64:F$65)-Data!E$9</f>
        <v>-0.3323260000000001</v>
      </c>
      <c r="G66" s="224">
        <f>SUM(G$64:G$65)-Data!F$9</f>
        <v>-0.31164099999999983</v>
      </c>
      <c r="H66" s="224">
        <f>SUM(H$64:H$65)-Data!G$9</f>
        <v>-0.42828299999999997</v>
      </c>
      <c r="I66" s="224">
        <f>SUM(I$64:I$65)-Data!H$9</f>
        <v>-0.4531350000000005</v>
      </c>
      <c r="J66" s="224">
        <f>SUM(J$64:J$65)-Data!I$9</f>
        <v>-0.3925729999999996</v>
      </c>
      <c r="K66" s="303">
        <f aca="true" t="shared" si="37" ref="K66:T66">(J$66-SUM(J$129,J$138))*(1+K$212)+SUM(K$129,K$138)</f>
        <v>-0.4006496623017415</v>
      </c>
      <c r="L66" s="303">
        <f t="shared" si="37"/>
        <v>-0.40391635760099087</v>
      </c>
      <c r="M66" s="303">
        <f t="shared" si="37"/>
        <v>-0.4097665439079523</v>
      </c>
      <c r="N66" s="303">
        <f t="shared" si="37"/>
        <v>-0.4187443846952752</v>
      </c>
      <c r="O66" s="303">
        <f t="shared" si="37"/>
        <v>-0.4262911194108737</v>
      </c>
      <c r="P66" s="303">
        <f t="shared" si="37"/>
        <v>-0.4322691758832563</v>
      </c>
      <c r="Q66" s="303">
        <f t="shared" si="37"/>
        <v>-0.43661908612821443</v>
      </c>
      <c r="R66" s="303">
        <f t="shared" si="37"/>
        <v>-0.4391486209810578</v>
      </c>
      <c r="S66" s="303">
        <f t="shared" si="37"/>
        <v>-0.4401966825519086</v>
      </c>
      <c r="T66" s="303">
        <f t="shared" si="37"/>
        <v>-0.4381146005666986</v>
      </c>
      <c r="V66" s="58"/>
      <c r="W66" s="58"/>
      <c r="X66" s="58"/>
      <c r="Y66" s="58"/>
    </row>
    <row r="67" spans="1:25" s="304" customFormat="1" ht="12.75">
      <c r="A67" s="382" t="s">
        <v>932</v>
      </c>
      <c r="D67" s="141">
        <f aca="true" t="shared" si="38" ref="D67:T67">SUM(D$64,D$65,-D$66)</f>
        <v>2.995</v>
      </c>
      <c r="E67" s="141">
        <f t="shared" si="38"/>
        <v>3.214</v>
      </c>
      <c r="F67" s="390">
        <f t="shared" si="38"/>
        <v>3.828</v>
      </c>
      <c r="G67" s="390">
        <f t="shared" si="38"/>
        <v>3.867</v>
      </c>
      <c r="H67" s="390">
        <f t="shared" si="38"/>
        <v>4.256</v>
      </c>
      <c r="I67" s="390">
        <f>SUM(I$64,I$65,-I$66)</f>
        <v>4.456</v>
      </c>
      <c r="J67" s="390">
        <f>SUM(J$64,J$65,-J$66)</f>
        <v>4.471</v>
      </c>
      <c r="K67" s="148">
        <f t="shared" si="38"/>
        <v>4.298285117449968</v>
      </c>
      <c r="L67" s="148">
        <f t="shared" si="38"/>
        <v>4.503228447638246</v>
      </c>
      <c r="M67" s="148">
        <f t="shared" si="38"/>
        <v>4.721172332634314</v>
      </c>
      <c r="N67" s="148">
        <f t="shared" si="38"/>
        <v>4.954529036928454</v>
      </c>
      <c r="O67" s="148">
        <f t="shared" si="38"/>
        <v>5.197607978552546</v>
      </c>
      <c r="P67" s="148">
        <f t="shared" si="38"/>
        <v>5.450667853543102</v>
      </c>
      <c r="Q67" s="148">
        <f t="shared" si="38"/>
        <v>5.713972955874272</v>
      </c>
      <c r="R67" s="148">
        <f t="shared" si="38"/>
        <v>5.986925225220727</v>
      </c>
      <c r="S67" s="148">
        <f t="shared" si="38"/>
        <v>6.269589915898473</v>
      </c>
      <c r="T67" s="148">
        <f t="shared" si="38"/>
        <v>6.559682088734832</v>
      </c>
      <c r="V67" s="58"/>
      <c r="W67" s="58"/>
      <c r="X67" s="58"/>
      <c r="Y67" s="58"/>
    </row>
    <row r="68" spans="1:25" s="304" customFormat="1" ht="12.75">
      <c r="A68" s="412"/>
      <c r="D68" s="247"/>
      <c r="E68" s="247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V68" s="58"/>
      <c r="W68" s="58"/>
      <c r="X68" s="58"/>
      <c r="Y68" s="58"/>
    </row>
    <row r="69" spans="1:25" s="304" customFormat="1" ht="12.75">
      <c r="A69" s="394" t="s">
        <v>138</v>
      </c>
      <c r="D69" s="141">
        <f ca="1">IF(OFFSET(Scenarios!$A$61,0,$C$1)="Yes",0,D$70-C$70)</f>
        <v>0</v>
      </c>
      <c r="E69" s="141">
        <f ca="1">IF(OFFSET(Scenarios!$A$61,0,$C$1)="Yes",0,E$70-D$70)</f>
        <v>0</v>
      </c>
      <c r="F69" s="390">
        <f ca="1">IF(OFFSET(Scenarios!$A$61,0,$C$1)="Yes",0,F$70-E$70)</f>
        <v>0.172</v>
      </c>
      <c r="G69" s="390">
        <f ca="1">IF(OFFSET(Scenarios!$A$61,0,$C$1)="Yes",0,G$70-F$70)</f>
        <v>1.443</v>
      </c>
      <c r="H69" s="390">
        <f ca="1">IF(OFFSET(Scenarios!$A$61,0,$C$1)="Yes",0,H$70-G$70)</f>
        <v>1.8830000000000002</v>
      </c>
      <c r="I69" s="390">
        <f ca="1">IF(OFFSET(Scenarios!$A$61,0,$C$1)="Yes",0,I$70-H$70)</f>
        <v>1.79</v>
      </c>
      <c r="J69" s="390">
        <f ca="1">IF(OFFSET(Scenarios!$A$61,0,$C$1)="Yes",0,J$70-I$70)</f>
        <v>1.8609999999999998</v>
      </c>
      <c r="K69" s="148">
        <f ca="1">IF(OFFSET(Scenarios!$A$61,0,$C$1)="Yes",0,IF(K$1="Proj Yr1",OFFSET(Scenarios!$A$31,0,$C$1),J$69*(1+IF(OFFSET(Scenarios!$A$35,0,$C$1)="GDP",K$212,IF(OFFSET(Scenarios!$A$35,0,$C$1)="CPI",K$215,0)))))</f>
        <v>1.694</v>
      </c>
      <c r="L69" s="148">
        <f ca="1">IF(OFFSET(Scenarios!$A$61,0,$C$1)="Yes",0,IF(L$1="Proj Yr1",OFFSET(Scenarios!$A$31,0,$C$1),K$69*(1+IF(OFFSET(Scenarios!$A$35,0,$C$1)="GDP",L$212,IF(OFFSET(Scenarios!$A$35,0,$C$1)="CPI",L$215,0)))))</f>
        <v>1.7282309660955033</v>
      </c>
      <c r="M69" s="148">
        <f ca="1">IF(OFFSET(Scenarios!$A$61,0,$C$1)="Yes",0,IF(M$1="Proj Yr1",OFFSET(Scenarios!$A$31,0,$C$1),L$69*(1+IF(OFFSET(Scenarios!$A$35,0,$C$1)="GDP",M$212,IF(OFFSET(Scenarios!$A$35,0,$C$1)="CPI",M$215,0)))))</f>
        <v>1.7627955854174133</v>
      </c>
      <c r="N69" s="148">
        <f ca="1">IF(OFFSET(Scenarios!$A$61,0,$C$1)="Yes",0,IF(N$1="Proj Yr1",OFFSET(Scenarios!$A$31,0,$C$1),M$69*(1+IF(OFFSET(Scenarios!$A$35,0,$C$1)="GDP",N$212,IF(OFFSET(Scenarios!$A$35,0,$C$1)="CPI",N$215,0)))))</f>
        <v>1.7980514971257617</v>
      </c>
      <c r="O69" s="148">
        <f ca="1">IF(OFFSET(Scenarios!$A$61,0,$C$1)="Yes",0,IF(O$1="Proj Yr1",OFFSET(Scenarios!$A$31,0,$C$1),N$69*(1+IF(OFFSET(Scenarios!$A$35,0,$C$1)="GDP",O$212,IF(OFFSET(Scenarios!$A$35,0,$C$1)="CPI",O$215,0)))))</f>
        <v>1.834012527068277</v>
      </c>
      <c r="P69" s="148">
        <f ca="1">IF(OFFSET(Scenarios!$A$61,0,$C$1)="Yes",0,IF(P$1="Proj Yr1",OFFSET(Scenarios!$A$31,0,$C$1),O$69*(1+IF(OFFSET(Scenarios!$A$35,0,$C$1)="GDP",P$212,IF(OFFSET(Scenarios!$A$35,0,$C$1)="CPI",P$215,0)))))</f>
        <v>1.8706927776096425</v>
      </c>
      <c r="Q69" s="148">
        <f ca="1">IF(OFFSET(Scenarios!$A$61,0,$C$1)="Yes",0,IF(Q$1="Proj Yr1",OFFSET(Scenarios!$A$31,0,$C$1),P$69*(1+IF(OFFSET(Scenarios!$A$35,0,$C$1)="GDP",Q$212,IF(OFFSET(Scenarios!$A$35,0,$C$1)="CPI",Q$215,0)))))</f>
        <v>1.9081066331618353</v>
      </c>
      <c r="R69" s="148">
        <f ca="1">IF(OFFSET(Scenarios!$A$61,0,$C$1)="Yes",0,IF(R$1="Proj Yr1",OFFSET(Scenarios!$A$31,0,$C$1),Q$69*(1+IF(OFFSET(Scenarios!$A$35,0,$C$1)="GDP",R$212,IF(OFFSET(Scenarios!$A$35,0,$C$1)="CPI",R$215,0)))))</f>
        <v>1.946268765825072</v>
      </c>
      <c r="S69" s="148">
        <f ca="1">IF(OFFSET(Scenarios!$A$61,0,$C$1)="Yes",0,IF(S$1="Proj Yr1",OFFSET(Scenarios!$A$31,0,$C$1),R$69*(1+IF(OFFSET(Scenarios!$A$35,0,$C$1)="GDP",S$212,IF(OFFSET(Scenarios!$A$35,0,$C$1)="CPI",S$215,0)))))</f>
        <v>1.9851941411415734</v>
      </c>
      <c r="T69" s="148">
        <f ca="1">IF(OFFSET(Scenarios!$A$61,0,$C$1)="Yes",0,IF(T$1="Proj Yr1",OFFSET(Scenarios!$A$31,0,$C$1),S$69*(1+IF(OFFSET(Scenarios!$A$35,0,$C$1)="GDP",T$212,IF(OFFSET(Scenarios!$A$35,0,$C$1)="CPI",T$215,0)))))</f>
        <v>2.024898023964405</v>
      </c>
      <c r="V69" s="58"/>
      <c r="W69" s="58"/>
      <c r="X69" s="58"/>
      <c r="Y69" s="58"/>
    </row>
    <row r="70" spans="1:25" s="304" customFormat="1" ht="12.75">
      <c r="A70" s="302" t="s">
        <v>785</v>
      </c>
      <c r="D70" s="247">
        <f>Data!C$30</f>
        <v>0</v>
      </c>
      <c r="E70" s="247">
        <f>Data!D$30</f>
        <v>0</v>
      </c>
      <c r="F70" s="224">
        <f>Data!E$30</f>
        <v>0.172</v>
      </c>
      <c r="G70" s="224">
        <f>Data!F$30</f>
        <v>1.615</v>
      </c>
      <c r="H70" s="224">
        <f>Data!G$30</f>
        <v>3.498</v>
      </c>
      <c r="I70" s="224">
        <f>Data!H$30</f>
        <v>5.288</v>
      </c>
      <c r="J70" s="224">
        <f>Data!I$30</f>
        <v>7.149</v>
      </c>
      <c r="K70" s="303">
        <f ca="1">J$70+IF(K$1="Proj Yr1",OFFSET(Scenarios!$A$31,0,$C$1),(J$70-I$70)*(1+IF(OFFSET(Scenarios!$A$35,0,$C$1)="GDP",K$212,IF(OFFSET(Scenarios!$A$35,0,$C$1)="CPI",K$215,0))))</f>
        <v>8.843</v>
      </c>
      <c r="L70" s="303">
        <f ca="1">K$70+IF(L$1="Proj Yr1",OFFSET(Scenarios!$A$31,0,$C$1),(K$70-J$70)*(1+IF(OFFSET(Scenarios!$A$35,0,$C$1)="GDP",L$212,IF(OFFSET(Scenarios!$A$35,0,$C$1)="CPI",L$215,0))))</f>
        <v>10.571230966095504</v>
      </c>
      <c r="M70" s="303">
        <f ca="1">L$70+IF(M$1="Proj Yr1",OFFSET(Scenarios!$A$31,0,$C$1),(L$70-K$70)*(1+IF(OFFSET(Scenarios!$A$35,0,$C$1)="GDP",M$212,IF(OFFSET(Scenarios!$A$35,0,$C$1)="CPI",M$215,0))))</f>
        <v>12.334026551512919</v>
      </c>
      <c r="N70" s="303">
        <f ca="1">M$70+IF(N$1="Proj Yr1",OFFSET(Scenarios!$A$31,0,$C$1),(M$70-L$70)*(1+IF(OFFSET(Scenarios!$A$35,0,$C$1)="GDP",N$212,IF(OFFSET(Scenarios!$A$35,0,$C$1)="CPI",N$215,0))))</f>
        <v>14.132078048638682</v>
      </c>
      <c r="O70" s="303">
        <f ca="1">N$70+IF(O$1="Proj Yr1",OFFSET(Scenarios!$A$31,0,$C$1),(N$70-M$70)*(1+IF(OFFSET(Scenarios!$A$35,0,$C$1)="GDP",O$212,IF(OFFSET(Scenarios!$A$35,0,$C$1)="CPI",O$215,0))))</f>
        <v>15.96609057570696</v>
      </c>
      <c r="P70" s="303">
        <f ca="1">O$70+IF(P$1="Proj Yr1",OFFSET(Scenarios!$A$31,0,$C$1),(O$70-N$70)*(1+IF(OFFSET(Scenarios!$A$35,0,$C$1)="GDP",P$212,IF(OFFSET(Scenarios!$A$35,0,$C$1)="CPI",P$215,0))))</f>
        <v>17.836783353316605</v>
      </c>
      <c r="Q70" s="303">
        <f ca="1">P$70+IF(Q$1="Proj Yr1",OFFSET(Scenarios!$A$31,0,$C$1),(P$70-O$70)*(1+IF(OFFSET(Scenarios!$A$35,0,$C$1)="GDP",Q$212,IF(OFFSET(Scenarios!$A$35,0,$C$1)="CPI",Q$215,0))))</f>
        <v>19.74488998647844</v>
      </c>
      <c r="R70" s="303">
        <f ca="1">Q$70+IF(R$1="Proj Yr1",OFFSET(Scenarios!$A$31,0,$C$1),(Q$70-P$70)*(1+IF(OFFSET(Scenarios!$A$35,0,$C$1)="GDP",R$212,IF(OFFSET(Scenarios!$A$35,0,$C$1)="CPI",R$215,0))))</f>
        <v>21.691158752303515</v>
      </c>
      <c r="S70" s="303">
        <f ca="1">R$70+IF(S$1="Proj Yr1",OFFSET(Scenarios!$A$31,0,$C$1),(R$70-Q$70)*(1+IF(OFFSET(Scenarios!$A$35,0,$C$1)="GDP",S$212,IF(OFFSET(Scenarios!$A$35,0,$C$1)="CPI",S$215,0))))</f>
        <v>23.67635289344509</v>
      </c>
      <c r="T70" s="303">
        <f ca="1">S$70+IF(T$1="Proj Yr1",OFFSET(Scenarios!$A$31,0,$C$1),(S$70-R$70)*(1+IF(OFFSET(Scenarios!$A$35,0,$C$1)="GDP",T$212,IF(OFFSET(Scenarios!$A$35,0,$C$1)="CPI",T$215,0))))</f>
        <v>25.7012509174095</v>
      </c>
      <c r="V70" s="58"/>
      <c r="W70" s="58"/>
      <c r="X70" s="58"/>
      <c r="Y70" s="58"/>
    </row>
    <row r="71" spans="1:25" s="304" customFormat="1" ht="12.75">
      <c r="A71" s="412"/>
      <c r="C71" s="247"/>
      <c r="D71" s="247"/>
      <c r="E71" s="247"/>
      <c r="F71" s="224"/>
      <c r="G71" s="224"/>
      <c r="H71" s="224"/>
      <c r="I71" s="224"/>
      <c r="J71" s="224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V71" s="58"/>
      <c r="W71" s="58"/>
      <c r="X71" s="58"/>
      <c r="Y71" s="58"/>
    </row>
    <row r="72" spans="1:25" s="304" customFormat="1" ht="12.75">
      <c r="A72" s="394" t="s">
        <v>139</v>
      </c>
      <c r="C72" s="303"/>
      <c r="D72" s="247"/>
      <c r="E72" s="247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V72" s="58"/>
      <c r="W72" s="58"/>
      <c r="X72" s="58"/>
      <c r="Y72" s="58"/>
    </row>
    <row r="73" spans="1:25" s="304" customFormat="1" ht="12.75">
      <c r="A73" s="302" t="s">
        <v>748</v>
      </c>
      <c r="B73" s="297"/>
      <c r="C73" s="303"/>
      <c r="D73" s="247">
        <f>Data!C$140</f>
        <v>6.81</v>
      </c>
      <c r="E73" s="247">
        <f>Data!D$140</f>
        <v>7.348</v>
      </c>
      <c r="F73" s="224">
        <f>Data!E$140</f>
        <v>7.785</v>
      </c>
      <c r="G73" s="224">
        <f>Data!F$140</f>
        <v>8.339</v>
      </c>
      <c r="H73" s="224">
        <f>Data!G$140</f>
        <v>8.72</v>
      </c>
      <c r="I73" s="224">
        <f>Data!H$140</f>
        <v>9.262</v>
      </c>
      <c r="J73" s="224">
        <f>Data!I$140</f>
        <v>9.886</v>
      </c>
      <c r="K73" s="303">
        <f>J$73*(K$84/J$84)*(1+Popn!K$201)</f>
        <v>10.572868814096024</v>
      </c>
      <c r="L73" s="303">
        <f>K$73*(L$84/K$84)*(1+Popn!L$201)</f>
        <v>11.28210068794213</v>
      </c>
      <c r="M73" s="303">
        <f>L$73*(M$84/L$84)*(1+Popn!M$201)</f>
        <v>12.00901258572301</v>
      </c>
      <c r="N73" s="303">
        <f>M$73*(N$84/M$84)*(1+Popn!N$201)</f>
        <v>12.775499456553119</v>
      </c>
      <c r="O73" s="303">
        <f>N$73*(O$84/N$84)*(1+Popn!O$201)</f>
        <v>13.577168710282734</v>
      </c>
      <c r="P73" s="303">
        <f>O$73*(P$84/O$84)*(1+Popn!P$201)</f>
        <v>14.43526036265516</v>
      </c>
      <c r="Q73" s="303">
        <f>P$73*(Q$84/P$84)*(1+Popn!Q$201)</f>
        <v>15.346168891741135</v>
      </c>
      <c r="R73" s="303">
        <f>Q$73*(R$84/Q$84)*(1+Popn!R$201)</f>
        <v>16.3997407365326</v>
      </c>
      <c r="S73" s="303">
        <f>R$73*(S$84/R$84)*(1+Popn!S$201)</f>
        <v>17.518547019363837</v>
      </c>
      <c r="T73" s="303">
        <f>S$73*(T$84/S$84)*(1+Popn!T$201)</f>
        <v>18.699347836146085</v>
      </c>
      <c r="V73" s="58"/>
      <c r="W73" s="58"/>
      <c r="X73" s="58"/>
      <c r="Y73" s="58"/>
    </row>
    <row r="74" spans="1:25" s="304" customFormat="1" ht="12.75">
      <c r="A74" s="302" t="s">
        <v>708</v>
      </c>
      <c r="B74" s="297"/>
      <c r="C74" s="303"/>
      <c r="D74" s="247">
        <f>Data!C$143</f>
        <v>0.613</v>
      </c>
      <c r="E74" s="247">
        <f>Data!D$143</f>
        <v>0.458</v>
      </c>
      <c r="F74" s="224">
        <f>Data!E$143</f>
        <v>0.487</v>
      </c>
      <c r="G74" s="224">
        <f>Data!F$143</f>
        <v>0.576</v>
      </c>
      <c r="H74" s="224">
        <f>Data!G$143</f>
        <v>0.583</v>
      </c>
      <c r="I74" s="224">
        <f>Data!H$143</f>
        <v>0.54</v>
      </c>
      <c r="J74" s="224">
        <f>Data!I$143</f>
        <v>0.523</v>
      </c>
      <c r="K74" s="303">
        <f aca="true" t="shared" si="39" ref="K74:T74">J$74*(K$86/J$86)*(1+K$215)</f>
        <v>0.5396461579688</v>
      </c>
      <c r="L74" s="303">
        <f t="shared" si="39"/>
        <v>0.5558336000581835</v>
      </c>
      <c r="M74" s="303">
        <f t="shared" si="39"/>
        <v>0.5722413024086345</v>
      </c>
      <c r="N74" s="303">
        <f t="shared" si="39"/>
        <v>0.5885942597044518</v>
      </c>
      <c r="O74" s="303">
        <f t="shared" si="39"/>
        <v>0.6045053155836141</v>
      </c>
      <c r="P74" s="303">
        <f t="shared" si="39"/>
        <v>0.6206750694624803</v>
      </c>
      <c r="Q74" s="303">
        <f t="shared" si="39"/>
        <v>0.6371340808441645</v>
      </c>
      <c r="R74" s="303">
        <f t="shared" si="39"/>
        <v>0.653835934722096</v>
      </c>
      <c r="S74" s="303">
        <f t="shared" si="39"/>
        <v>0.6709599911500564</v>
      </c>
      <c r="T74" s="303">
        <f t="shared" si="39"/>
        <v>0.6881929239560319</v>
      </c>
      <c r="V74" s="58"/>
      <c r="W74" s="58"/>
      <c r="X74" s="58"/>
      <c r="Y74" s="58"/>
    </row>
    <row r="75" spans="1:25" s="304" customFormat="1" ht="12.75">
      <c r="A75" s="302" t="s">
        <v>740</v>
      </c>
      <c r="B75" s="297"/>
      <c r="C75" s="303"/>
      <c r="D75" s="247">
        <f>SUM(Data!C$141,Data!C$144,Data!C$145)</f>
        <v>3.1729999999999996</v>
      </c>
      <c r="E75" s="247">
        <f>SUM(Data!D$141,Data!D$144,Data!D$145)</f>
        <v>3.276</v>
      </c>
      <c r="F75" s="224">
        <f>SUM(Data!E$141,Data!E$144,Data!E$145)</f>
        <v>3.344</v>
      </c>
      <c r="G75" s="224">
        <f>SUM(Data!F$141,Data!F$144,Data!F$145)</f>
        <v>3.4539999999999997</v>
      </c>
      <c r="H75" s="224">
        <f>SUM(Data!G$141,Data!G$144,Data!G$145)</f>
        <v>3.5239999999999996</v>
      </c>
      <c r="I75" s="224">
        <f>SUM(Data!H$141,Data!H$144,Data!H$145)</f>
        <v>3.6270000000000002</v>
      </c>
      <c r="J75" s="224">
        <f>SUM(Data!I$141,Data!I$144,Data!I$145)</f>
        <v>3.71</v>
      </c>
      <c r="K75" s="303">
        <f>J$75*(1+K$215)*(1+SUMPRODUCT(Popn!K$204:K$214,Tracks!$H$93:$H$103)+SUMPRODUCT(Popn!K$215:K$225,Tracks!$I$93:$I$103))</f>
        <v>3.810549124054757</v>
      </c>
      <c r="L75" s="303">
        <f>K$75*(1+L$215)*(1+SUMPRODUCT(Popn!L$204:L$214,Tracks!$H$93:$H$103)+SUMPRODUCT(Popn!L$215:L$225,Tracks!$I$93:$I$103))</f>
        <v>3.9053730936720847</v>
      </c>
      <c r="M75" s="303">
        <f>L$75*(1+M$215)*(1+SUMPRODUCT(Popn!M$204:M$214,Tracks!$H$93:$H$103)+SUMPRODUCT(Popn!M$215:M$225,Tracks!$I$93:$I$103))</f>
        <v>4.0021329024275945</v>
      </c>
      <c r="N75" s="303">
        <f>M$75*(1+N$215)*(1+SUMPRODUCT(Popn!N$204:N$214,Tracks!$H$93:$H$103)+SUMPRODUCT(Popn!N$215:N$225,Tracks!$I$93:$I$103))</f>
        <v>4.097784320143096</v>
      </c>
      <c r="O75" s="303">
        <f>N$75*(1+O$215)*(1+SUMPRODUCT(Popn!O$204:O$214,Tracks!$H$93:$H$103)+SUMPRODUCT(Popn!O$215:O$225,Tracks!$I$93:$I$103))</f>
        <v>4.1982448476342045</v>
      </c>
      <c r="P75" s="303">
        <f>O$75*(1+P$215)*(1+SUMPRODUCT(Popn!P$204:P$214,Tracks!$H$93:$H$103)+SUMPRODUCT(Popn!P$215:P$225,Tracks!$I$93:$I$103))</f>
        <v>4.2977219301528065</v>
      </c>
      <c r="Q75" s="303">
        <f>P$75*(1+Q$215)*(1+SUMPRODUCT(Popn!Q$204:Q$214,Tracks!$H$93:$H$103)+SUMPRODUCT(Popn!Q$215:Q$225,Tracks!$I$93:$I$103))</f>
        <v>4.3979891776119535</v>
      </c>
      <c r="R75" s="303">
        <f>Q$75*(1+R$215)*(1+SUMPRODUCT(Popn!R$204:R$214,Tracks!$H$93:$H$103)+SUMPRODUCT(Popn!R$215:R$225,Tracks!$I$93:$I$103))</f>
        <v>4.498691952879771</v>
      </c>
      <c r="S75" s="303">
        <f>R$75*(1+S$215)*(1+SUMPRODUCT(Popn!S$204:S$214,Tracks!$H$93:$H$103)+SUMPRODUCT(Popn!S$215:S$225,Tracks!$I$93:$I$103))</f>
        <v>4.6006421536679625</v>
      </c>
      <c r="T75" s="303">
        <f>S$75*(1+T$215)*(1+SUMPRODUCT(Popn!T$204:T$214,Tracks!$H$93:$H$103)+SUMPRODUCT(Popn!T$215:T$225,Tracks!$I$93:$I$103))</f>
        <v>4.7038946074415255</v>
      </c>
      <c r="V75" s="58"/>
      <c r="W75" s="58"/>
      <c r="X75" s="58"/>
      <c r="Y75" s="58"/>
    </row>
    <row r="76" spans="1:25" s="304" customFormat="1" ht="12.75">
      <c r="A76" s="344" t="s">
        <v>742</v>
      </c>
      <c r="B76" s="297"/>
      <c r="C76" s="303"/>
      <c r="D76" s="247">
        <f>Data!C$39-SUM(D$73:D$75)</f>
        <v>6.172000000000001</v>
      </c>
      <c r="E76" s="247">
        <f>Data!D$39-SUM(E$73:E$75)</f>
        <v>6.794999999999998</v>
      </c>
      <c r="F76" s="224">
        <f>Data!E$39-SUM(F$73:F$75)</f>
        <v>7.539999999999999</v>
      </c>
      <c r="G76" s="224">
        <f>Data!F$39-SUM(G$73:G$75)</f>
        <v>7.7429999999999986</v>
      </c>
      <c r="H76" s="224">
        <f>Data!G$39-SUM(H$73:H$75)</f>
        <v>7.953000000000001</v>
      </c>
      <c r="I76" s="224">
        <f>Data!H$39-SUM(I$73:I$75)</f>
        <v>8.251</v>
      </c>
      <c r="J76" s="224">
        <f>Data!I$39-SUM(J$73:J$75)</f>
        <v>8.41</v>
      </c>
      <c r="K76" s="303">
        <f>J$76*(1+K$215)*(1+AVERAGE(Popn!K$197,Popn!K$202))</f>
        <v>8.63435729137758</v>
      </c>
      <c r="L76" s="303">
        <f>K$76*(1+L$215)*(1+AVERAGE(Popn!L$197,Popn!L$202))</f>
        <v>8.845530246553576</v>
      </c>
      <c r="M76" s="303">
        <f>L$76*(1+M$215)*(1+AVERAGE(Popn!M$197,Popn!M$202))</f>
        <v>9.062362410466637</v>
      </c>
      <c r="N76" s="303">
        <f>M$76*(1+N$215)*(1+AVERAGE(Popn!N$197,Popn!N$202))</f>
        <v>9.289478019522262</v>
      </c>
      <c r="O76" s="303">
        <f>N$76*(1+O$215)*(1+AVERAGE(Popn!O$197,Popn!O$202))</f>
        <v>9.520362622124827</v>
      </c>
      <c r="P76" s="303">
        <f>O$76*(1+P$215)*(1+AVERAGE(Popn!P$197,Popn!P$202))</f>
        <v>9.75973845464985</v>
      </c>
      <c r="Q76" s="303">
        <f>P$76*(1+Q$215)*(1+AVERAGE(Popn!Q$197,Popn!Q$202))</f>
        <v>9.99678192561415</v>
      </c>
      <c r="R76" s="303">
        <f>Q$76*(1+R$215)*(1+AVERAGE(Popn!R$197,Popn!R$202))</f>
        <v>10.242615823800842</v>
      </c>
      <c r="S76" s="303">
        <f>R$76*(1+S$215)*(1+AVERAGE(Popn!S$197,Popn!S$202))</f>
        <v>10.502695878638958</v>
      </c>
      <c r="T76" s="303">
        <f>S$76*(1+T$215)*(1+AVERAGE(Popn!T$197,Popn!T$202))</f>
        <v>10.76599710260152</v>
      </c>
      <c r="V76" s="58"/>
      <c r="W76" s="58"/>
      <c r="X76" s="58"/>
      <c r="Y76" s="58"/>
    </row>
    <row r="77" spans="1:25" s="304" customFormat="1" ht="12.75">
      <c r="A77" s="382" t="s">
        <v>174</v>
      </c>
      <c r="B77" s="297"/>
      <c r="C77" s="303"/>
      <c r="D77" s="141">
        <f aca="true" t="shared" si="40" ref="D77:T77">SUM(D$73:D$76)</f>
        <v>16.768</v>
      </c>
      <c r="E77" s="141">
        <f t="shared" si="40"/>
        <v>17.877</v>
      </c>
      <c r="F77" s="390">
        <f t="shared" si="40"/>
        <v>19.156</v>
      </c>
      <c r="G77" s="390">
        <f t="shared" si="40"/>
        <v>20.112</v>
      </c>
      <c r="H77" s="390">
        <f t="shared" si="40"/>
        <v>20.78</v>
      </c>
      <c r="I77" s="390">
        <f t="shared" si="40"/>
        <v>21.68</v>
      </c>
      <c r="J77" s="390">
        <f t="shared" si="40"/>
        <v>22.529</v>
      </c>
      <c r="K77" s="148">
        <f t="shared" si="40"/>
        <v>23.55742138749716</v>
      </c>
      <c r="L77" s="148">
        <f t="shared" si="40"/>
        <v>24.588837628225974</v>
      </c>
      <c r="M77" s="148">
        <f t="shared" si="40"/>
        <v>25.645749201025875</v>
      </c>
      <c r="N77" s="148">
        <f t="shared" si="40"/>
        <v>26.751356055922926</v>
      </c>
      <c r="O77" s="148">
        <f t="shared" si="40"/>
        <v>27.90028149562538</v>
      </c>
      <c r="P77" s="148">
        <f t="shared" si="40"/>
        <v>29.113395816920296</v>
      </c>
      <c r="Q77" s="148">
        <f t="shared" si="40"/>
        <v>30.378074075811405</v>
      </c>
      <c r="R77" s="148">
        <f t="shared" si="40"/>
        <v>31.79488444793531</v>
      </c>
      <c r="S77" s="148">
        <f t="shared" si="40"/>
        <v>33.292845042820815</v>
      </c>
      <c r="T77" s="148">
        <f t="shared" si="40"/>
        <v>34.85743247014516</v>
      </c>
      <c r="V77" s="58"/>
      <c r="W77" s="58"/>
      <c r="X77" s="58"/>
      <c r="Y77" s="58"/>
    </row>
    <row r="78" spans="1:25" s="304" customFormat="1" ht="12.75">
      <c r="A78" s="302" t="s">
        <v>743</v>
      </c>
      <c r="B78" s="297"/>
      <c r="C78" s="303"/>
      <c r="D78" s="247">
        <f>Data!C$111</f>
        <v>3.665</v>
      </c>
      <c r="E78" s="247">
        <f>Data!D$111</f>
        <v>4.307</v>
      </c>
      <c r="F78" s="392">
        <f>Data!E$111</f>
        <v>4.942</v>
      </c>
      <c r="G78" s="392">
        <f>Data!F$111</f>
        <v>5.134</v>
      </c>
      <c r="H78" s="392">
        <f>Data!G$111</f>
        <v>5.473</v>
      </c>
      <c r="I78" s="392">
        <f>Data!H$111</f>
        <v>5.849</v>
      </c>
      <c r="J78" s="392">
        <f>Data!I$111</f>
        <v>6.218</v>
      </c>
      <c r="K78" s="303">
        <f aca="true" t="shared" si="41" ref="K78:T78">J$78+SUM(K$125-J$125,K$130,K$131)-SUM(J$125-I$125,J$130,J$131)</f>
        <v>6.491150448364342</v>
      </c>
      <c r="L78" s="303">
        <f t="shared" si="41"/>
        <v>6.754434037271716</v>
      </c>
      <c r="M78" s="303">
        <f t="shared" si="41"/>
        <v>7.053121964225197</v>
      </c>
      <c r="N78" s="303">
        <f t="shared" si="41"/>
        <v>7.392386821852616</v>
      </c>
      <c r="O78" s="303">
        <f t="shared" si="41"/>
        <v>7.738877022442779</v>
      </c>
      <c r="P78" s="303">
        <f t="shared" si="41"/>
        <v>8.092754819100652</v>
      </c>
      <c r="Q78" s="303">
        <f t="shared" si="41"/>
        <v>8.45485347819907</v>
      </c>
      <c r="R78" s="303">
        <f t="shared" si="41"/>
        <v>8.825087819656979</v>
      </c>
      <c r="S78" s="303">
        <f t="shared" si="41"/>
        <v>9.20748113461413</v>
      </c>
      <c r="T78" s="303">
        <f t="shared" si="41"/>
        <v>9.591121696167617</v>
      </c>
      <c r="V78" s="58"/>
      <c r="W78" s="58"/>
      <c r="X78" s="58"/>
      <c r="Y78" s="58"/>
    </row>
    <row r="79" spans="1:25" s="304" customFormat="1" ht="12.75">
      <c r="A79" s="389" t="s">
        <v>485</v>
      </c>
      <c r="B79" s="297"/>
      <c r="C79" s="303"/>
      <c r="D79" s="247">
        <f>Data!C$112</f>
        <v>0.604</v>
      </c>
      <c r="E79" s="247">
        <f>Data!D$112</f>
        <v>0.675</v>
      </c>
      <c r="F79" s="224">
        <f>Data!E$112</f>
        <v>0.716</v>
      </c>
      <c r="G79" s="224">
        <f>Data!F$112</f>
        <v>0.741</v>
      </c>
      <c r="H79" s="224">
        <f>Data!G$112</f>
        <v>0.78</v>
      </c>
      <c r="I79" s="224">
        <f>Data!H$112</f>
        <v>0.822</v>
      </c>
      <c r="J79" s="224">
        <f>Data!I$112</f>
        <v>0.861</v>
      </c>
      <c r="K79" s="303">
        <f>J$79*K$78/J$78</f>
        <v>0.898822858803747</v>
      </c>
      <c r="L79" s="303">
        <f aca="true" t="shared" si="42" ref="L79:S79">K$79*L$78/K$78</f>
        <v>0.935279463829358</v>
      </c>
      <c r="M79" s="303">
        <f t="shared" si="42"/>
        <v>0.9766384707619645</v>
      </c>
      <c r="N79" s="303">
        <f t="shared" si="42"/>
        <v>1.023616123128836</v>
      </c>
      <c r="O79" s="303">
        <f t="shared" si="42"/>
        <v>1.0715942612292106</v>
      </c>
      <c r="P79" s="303">
        <f t="shared" si="42"/>
        <v>1.1205953520819651</v>
      </c>
      <c r="Q79" s="303">
        <f t="shared" si="42"/>
        <v>1.1707347772160497</v>
      </c>
      <c r="R79" s="303">
        <f t="shared" si="42"/>
        <v>1.2220007418341359</v>
      </c>
      <c r="S79" s="303">
        <f t="shared" si="42"/>
        <v>1.2749503468804702</v>
      </c>
      <c r="T79" s="303">
        <f>S$79*T$78/S$78</f>
        <v>1.3280726568672108</v>
      </c>
      <c r="V79" s="58"/>
      <c r="W79" s="58"/>
      <c r="X79" s="58"/>
      <c r="Y79" s="58"/>
    </row>
    <row r="80" spans="1:25" s="304" customFormat="1" ht="12.75">
      <c r="A80" s="382" t="s">
        <v>131</v>
      </c>
      <c r="B80" s="297"/>
      <c r="C80" s="303"/>
      <c r="D80" s="141">
        <f aca="true" t="shared" si="43" ref="D80:T80">SUM(D$77,D$78,-D$79)</f>
        <v>19.829</v>
      </c>
      <c r="E80" s="141">
        <f t="shared" si="43"/>
        <v>21.508999999999997</v>
      </c>
      <c r="F80" s="390">
        <f t="shared" si="43"/>
        <v>23.381999999999998</v>
      </c>
      <c r="G80" s="390">
        <f t="shared" si="43"/>
        <v>24.505</v>
      </c>
      <c r="H80" s="390">
        <f t="shared" si="43"/>
        <v>25.473</v>
      </c>
      <c r="I80" s="390">
        <f t="shared" si="43"/>
        <v>26.707</v>
      </c>
      <c r="J80" s="390">
        <f t="shared" si="43"/>
        <v>27.886</v>
      </c>
      <c r="K80" s="148">
        <f t="shared" si="43"/>
        <v>29.149748977057754</v>
      </c>
      <c r="L80" s="148">
        <f t="shared" si="43"/>
        <v>30.407992201668332</v>
      </c>
      <c r="M80" s="148">
        <f t="shared" si="43"/>
        <v>31.722232694489104</v>
      </c>
      <c r="N80" s="148">
        <f t="shared" si="43"/>
        <v>33.120126754646705</v>
      </c>
      <c r="O80" s="148">
        <f t="shared" si="43"/>
        <v>34.56756425683895</v>
      </c>
      <c r="P80" s="148">
        <f t="shared" si="43"/>
        <v>36.08555528393899</v>
      </c>
      <c r="Q80" s="148">
        <f t="shared" si="43"/>
        <v>37.66219277679443</v>
      </c>
      <c r="R80" s="148">
        <f t="shared" si="43"/>
        <v>39.39797152575815</v>
      </c>
      <c r="S80" s="148">
        <f t="shared" si="43"/>
        <v>41.22537583055447</v>
      </c>
      <c r="T80" s="148">
        <f t="shared" si="43"/>
        <v>43.12048150944557</v>
      </c>
      <c r="V80" s="58"/>
      <c r="W80" s="58"/>
      <c r="X80" s="58"/>
      <c r="Y80" s="58"/>
    </row>
    <row r="81" spans="1:25" s="304" customFormat="1" ht="12.75">
      <c r="A81" s="394" t="s">
        <v>140</v>
      </c>
      <c r="C81" s="303"/>
      <c r="D81" s="247"/>
      <c r="E81" s="247"/>
      <c r="F81" s="224"/>
      <c r="G81" s="224"/>
      <c r="H81" s="224"/>
      <c r="I81" s="224"/>
      <c r="J81" s="224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V81" s="58"/>
      <c r="W81" s="58"/>
      <c r="X81" s="58"/>
      <c r="Y81" s="58"/>
    </row>
    <row r="82" spans="1:25" s="304" customFormat="1" ht="12.75">
      <c r="A82" s="302" t="s">
        <v>634</v>
      </c>
      <c r="C82" s="303"/>
      <c r="D82" s="419">
        <f>Data!C$214</f>
        <v>832.54</v>
      </c>
      <c r="E82" s="419">
        <f>Data!D$214</f>
        <v>861.55</v>
      </c>
      <c r="F82" s="413">
        <f>Data!E$214</f>
        <v>908.9250770826491</v>
      </c>
      <c r="G82" s="413">
        <f>Data!F$214</f>
        <v>947.2599128643457</v>
      </c>
      <c r="H82" s="413">
        <f>Data!G$214</f>
        <v>985.1477476961195</v>
      </c>
      <c r="I82" s="413">
        <f>Data!H$214</f>
        <v>1022.3524448314602</v>
      </c>
      <c r="J82" s="413">
        <f>Data!I$214</f>
        <v>1058.1710607234047</v>
      </c>
      <c r="K82" s="420">
        <f aca="true" t="shared" si="44" ref="K82:T82">J$82*(1+K$230)*(1+K$215)</f>
        <v>1097.8951087921337</v>
      </c>
      <c r="L82" s="420">
        <f t="shared" si="44"/>
        <v>1136.8816820587053</v>
      </c>
      <c r="M82" s="420">
        <f t="shared" si="44"/>
        <v>1177.0136054353777</v>
      </c>
      <c r="N82" s="420">
        <f t="shared" si="44"/>
        <v>1218.5621857072465</v>
      </c>
      <c r="O82" s="420">
        <f t="shared" si="44"/>
        <v>1261.5774308627122</v>
      </c>
      <c r="P82" s="420">
        <f t="shared" si="44"/>
        <v>1306.1111141721658</v>
      </c>
      <c r="Q82" s="420">
        <f t="shared" si="44"/>
        <v>1352.2168365024431</v>
      </c>
      <c r="R82" s="420">
        <f t="shared" si="44"/>
        <v>1399.9500908309792</v>
      </c>
      <c r="S82" s="420">
        <f t="shared" si="44"/>
        <v>1449.3683290373126</v>
      </c>
      <c r="T82" s="420">
        <f t="shared" si="44"/>
        <v>1500.5310310523296</v>
      </c>
      <c r="V82" s="58"/>
      <c r="W82" s="58"/>
      <c r="X82" s="58"/>
      <c r="Y82" s="58"/>
    </row>
    <row r="83" spans="1:25" s="304" customFormat="1" ht="12.75">
      <c r="A83" s="302" t="s">
        <v>635</v>
      </c>
      <c r="C83" s="303"/>
      <c r="D83" s="419">
        <f>Data!C$214-Data!C$185</f>
        <v>186.7199999999999</v>
      </c>
      <c r="E83" s="419">
        <f>Data!D$214-Data!D$185</f>
        <v>197.52999999999997</v>
      </c>
      <c r="F83" s="413">
        <f>Data!E$214-Data!E$185</f>
        <v>197.1550770826491</v>
      </c>
      <c r="G83" s="413">
        <f>Data!F$214-Data!F$185</f>
        <v>204.8499128643457</v>
      </c>
      <c r="H83" s="413">
        <f>Data!G$214-Data!G$185</f>
        <v>208.06774769611945</v>
      </c>
      <c r="I83" s="413">
        <f>Data!H$214-Data!H$185</f>
        <v>220.8024448314602</v>
      </c>
      <c r="J83" s="413">
        <f>Data!I$214-Data!I$185</f>
        <v>233.1810607234047</v>
      </c>
      <c r="K83" s="420">
        <f ca="1">J$83*(1+IF(AND(OFFSET(Scenarios!$A$24,0,$C$1)="YES",MID(OFFSET(Scenarios!$A$26,0,$C$1),6,2)&gt;=MID(K$3,4,2)),IF(OFFSET(Scenarios!$A$29,0,$C$1)="Inflation",1,OFFSET(Scenarios!$A$25,0,$C$1)),1)*K$230)*(1+IF(AND(OFFSET(Scenarios!$A$24,0,$C$1)="YES",MID(OFFSET(Scenarios!$A$26,0,$C$1),6,2)&gt;=MID(K$3,4,2)),IF(OFFSET(Scenarios!$A$29,0,$C$1)="Wage",1,OFFSET(Scenarios!$A$25,0,$C$1)),1)*K$215)</f>
        <v>245.47971676407892</v>
      </c>
      <c r="L83" s="420">
        <f ca="1">K$83*(1+IF(AND(OFFSET(Scenarios!$A$24,0,$C$1)="YES",MID(OFFSET(Scenarios!$A$26,0,$C$1),6,2)&gt;=MID(L$3,4,2)),IF(OFFSET(Scenarios!$A$29,0,$C$1)="Inflation",1,OFFSET(Scenarios!$A$25,0,$C$1)),1)*L$230)*(1+IF(AND(OFFSET(Scenarios!$A$24,0,$C$1)="YES",MID(OFFSET(Scenarios!$A$26,0,$C$1),6,2)&gt;=MID(L$3,4,2)),IF(OFFSET(Scenarios!$A$29,0,$C$1)="Wage",1,OFFSET(Scenarios!$A$25,0,$C$1)),1)*L$215)</f>
        <v>257.7252627390835</v>
      </c>
      <c r="M83" s="420">
        <f ca="1">L$83*(1+IF(AND(OFFSET(Scenarios!$A$24,0,$C$1)="YES",MID(OFFSET(Scenarios!$A$26,0,$C$1),6,2)&gt;=MID(M$3,4,2)),IF(OFFSET(Scenarios!$A$29,0,$C$1)="Inflation",1,OFFSET(Scenarios!$A$25,0,$C$1)),1)*M$230)*(1+IF(AND(OFFSET(Scenarios!$A$24,0,$C$1)="YES",MID(OFFSET(Scenarios!$A$26,0,$C$1),6,2)&gt;=MID(M$3,4,2)),IF(OFFSET(Scenarios!$A$29,0,$C$1)="Wage",1,OFFSET(Scenarios!$A$25,0,$C$1)),1)*M$215)</f>
        <v>270.5053430677892</v>
      </c>
      <c r="N83" s="420">
        <f ca="1">M$83*(1+IF(AND(OFFSET(Scenarios!$A$24,0,$C$1)="YES",MID(OFFSET(Scenarios!$A$26,0,$C$1),6,2)&gt;=MID(N$3,4,2)),IF(OFFSET(Scenarios!$A$29,0,$C$1)="Inflation",1,OFFSET(Scenarios!$A$25,0,$C$1)),1)*N$230)*(1+IF(AND(OFFSET(Scenarios!$A$24,0,$C$1)="YES",MID(OFFSET(Scenarios!$A$26,0,$C$1),6,2)&gt;=MID(N$3,4,2)),IF(OFFSET(Scenarios!$A$29,0,$C$1)="Wage",1,OFFSET(Scenarios!$A$25,0,$C$1)),1)*N$215)</f>
        <v>283.91916201983474</v>
      </c>
      <c r="O83" s="420">
        <f ca="1">N$83*(1+IF(AND(OFFSET(Scenarios!$A$24,0,$C$1)="YES",MID(OFFSET(Scenarios!$A$26,0,$C$1),6,2)&gt;=MID(O$3,4,2)),IF(OFFSET(Scenarios!$A$29,0,$C$1)="Inflation",1,OFFSET(Scenarios!$A$25,0,$C$1)),1)*O$230)*(1+IF(AND(OFFSET(Scenarios!$A$24,0,$C$1)="YES",MID(OFFSET(Scenarios!$A$26,0,$C$1),6,2)&gt;=MID(O$3,4,2)),IF(OFFSET(Scenarios!$A$29,0,$C$1)="Wage",1,OFFSET(Scenarios!$A$25,0,$C$1)),1)*O$215)</f>
        <v>297.9981454260743</v>
      </c>
      <c r="P83" s="420">
        <f ca="1">O$83*(1+IF(AND(OFFSET(Scenarios!$A$24,0,$C$1)="YES",MID(OFFSET(Scenarios!$A$26,0,$C$1),6,2)&gt;=MID(P$3,4,2)),IF(OFFSET(Scenarios!$A$29,0,$C$1)="Inflation",1,OFFSET(Scenarios!$A$25,0,$C$1)),1)*P$230)*(1+IF(AND(OFFSET(Scenarios!$A$24,0,$C$1)="YES",MID(OFFSET(Scenarios!$A$26,0,$C$1),6,2)&gt;=MID(P$3,4,2)),IF(OFFSET(Scenarios!$A$29,0,$C$1)="Wage",1,OFFSET(Scenarios!$A$25,0,$C$1)),1)*P$215)</f>
        <v>312.77527746146245</v>
      </c>
      <c r="Q83" s="420">
        <f ca="1">P$83*(1+IF(AND(OFFSET(Scenarios!$A$24,0,$C$1)="YES",MID(OFFSET(Scenarios!$A$26,0,$C$1),6,2)&gt;=MID(Q$3,4,2)),IF(OFFSET(Scenarios!$A$29,0,$C$1)="Inflation",1,OFFSET(Scenarios!$A$25,0,$C$1)),1)*Q$230)*(1+IF(AND(OFFSET(Scenarios!$A$24,0,$C$1)="YES",MID(OFFSET(Scenarios!$A$26,0,$C$1),6,2)&gt;=MID(Q$3,4,2)),IF(OFFSET(Scenarios!$A$29,0,$C$1)="Wage",1,OFFSET(Scenarios!$A$25,0,$C$1)),1)*Q$215)</f>
        <v>328.28517792022143</v>
      </c>
      <c r="R83" s="420">
        <f ca="1">Q$83*(1+IF(AND(OFFSET(Scenarios!$A$24,0,$C$1)="YES",MID(OFFSET(Scenarios!$A$26,0,$C$1),6,2)&gt;=MID(R$3,4,2)),IF(OFFSET(Scenarios!$A$29,0,$C$1)="Inflation",1,OFFSET(Scenarios!$A$25,0,$C$1)),1)*R$230)*(1+IF(AND(OFFSET(Scenarios!$A$24,0,$C$1)="YES",MID(OFFSET(Scenarios!$A$26,0,$C$1),6,2)&gt;=MID(R$3,4,2)),IF(OFFSET(Scenarios!$A$29,0,$C$1)="Wage",1,OFFSET(Scenarios!$A$25,0,$C$1)),1)*R$215)</f>
        <v>339.87364470080524</v>
      </c>
      <c r="S83" s="420">
        <f ca="1">R$83*(1+IF(AND(OFFSET(Scenarios!$A$24,0,$C$1)="YES",MID(OFFSET(Scenarios!$A$26,0,$C$1),6,2)&gt;=MID(S$3,4,2)),IF(OFFSET(Scenarios!$A$29,0,$C$1)="Inflation",1,OFFSET(Scenarios!$A$25,0,$C$1)),1)*S$230)*(1+IF(AND(OFFSET(Scenarios!$A$24,0,$C$1)="YES",MID(OFFSET(Scenarios!$A$26,0,$C$1),6,2)&gt;=MID(S$3,4,2)),IF(OFFSET(Scenarios!$A$29,0,$C$1)="Wage",1,OFFSET(Scenarios!$A$25,0,$C$1)),1)*S$215)</f>
        <v>351.8711843587436</v>
      </c>
      <c r="T83" s="420">
        <f ca="1">S$83*(1+IF(AND(OFFSET(Scenarios!$A$24,0,$C$1)="YES",MID(OFFSET(Scenarios!$A$26,0,$C$1),6,2)&gt;=MID(T$3,4,2)),IF(OFFSET(Scenarios!$A$29,0,$C$1)="Inflation",1,OFFSET(Scenarios!$A$25,0,$C$1)),1)*T$230)*(1+IF(AND(OFFSET(Scenarios!$A$24,0,$C$1)="YES",MID(OFFSET(Scenarios!$A$26,0,$C$1),6,2)&gt;=MID(T$3,4,2)),IF(OFFSET(Scenarios!$A$29,0,$C$1)="Wage",1,OFFSET(Scenarios!$A$25,0,$C$1)),1)*T$215)</f>
        <v>364.29223716660726</v>
      </c>
      <c r="V83" s="58"/>
      <c r="W83" s="58"/>
      <c r="X83" s="58"/>
      <c r="Y83" s="58"/>
    </row>
    <row r="84" spans="1:25" s="304" customFormat="1" ht="12.75">
      <c r="A84" s="302" t="s">
        <v>574</v>
      </c>
      <c r="B84" s="421"/>
      <c r="C84" s="303"/>
      <c r="D84" s="419">
        <f>Data!C$186</f>
        <v>213.12</v>
      </c>
      <c r="E84" s="419">
        <f>Data!D$186</f>
        <v>219.9</v>
      </c>
      <c r="F84" s="413">
        <f>Data!E$186</f>
        <v>241.62</v>
      </c>
      <c r="G84" s="413">
        <f>Data!F$186</f>
        <v>247.66</v>
      </c>
      <c r="H84" s="413">
        <f>Data!G$186</f>
        <v>253.48</v>
      </c>
      <c r="I84" s="413">
        <f>Data!H$186</f>
        <v>260.5</v>
      </c>
      <c r="J84" s="413">
        <f>Data!I$186</f>
        <v>268.12</v>
      </c>
      <c r="K84" s="420">
        <f ca="1">IF(OFFSET(Scenarios!$A$39,0,$C$1)="Yes",IF((2*J$84*(1+K$215))/(K$82-K$83)&gt;OFFSET(Scenarios!$A$40,0,$C$1),J$84*(1+K$215),0.5*(K$82-K$83)*OFFSET(Scenarios!$A$40,0,$C$1)),J$84*(1+K$215))</f>
        <v>277.0350024091178</v>
      </c>
      <c r="L84" s="420">
        <f ca="1">IF(OFFSET(Scenarios!$A$39,0,$C$1)="Yes",IF((2*K$84*(1+L$215))/(L$82-L$83)&gt;OFFSET(Scenarios!$A$40,0,$C$1),K$84*(1+L$215),0.5*(L$82-L$83)*OFFSET(Scenarios!$A$40,0,$C$1)),K$84*(1+L$215))</f>
        <v>285.7258362788771</v>
      </c>
      <c r="M84" s="420">
        <f ca="1">IF(OFFSET(Scenarios!$A$39,0,$C$1)="Yes",IF((2*L$84*(1+M$215))/(M$82-M$83)&gt;OFFSET(Scenarios!$A$40,0,$C$1),L$84*(1+M$215),0.5*(M$82-M$83)*OFFSET(Scenarios!$A$40,0,$C$1)),L$84*(1+M$215))</f>
        <v>294.6151852694663</v>
      </c>
      <c r="N84" s="420">
        <f ca="1">IF(OFFSET(Scenarios!$A$39,0,$C$1)="Yes",IF((2*M$84*(1+N$215))/(N$82-N$83)&gt;OFFSET(Scenarios!$A$40,0,$C$1),M$84*(1+N$215),0.5*(N$82-N$83)*OFFSET(Scenarios!$A$40,0,$C$1)),M$84*(1+N$215))</f>
        <v>303.75898269840883</v>
      </c>
      <c r="O84" s="420">
        <f ca="1">IF(OFFSET(Scenarios!$A$39,0,$C$1)="Yes",IF((2*N$84*(1+O$215))/(O$82-O$83)&gt;OFFSET(Scenarios!$A$40,0,$C$1),N$84*(1+O$215),0.5*(O$82-O$83)*OFFSET(Scenarios!$A$40,0,$C$1)),N$84*(1+O$215))</f>
        <v>313.1632677669073</v>
      </c>
      <c r="P84" s="420">
        <f ca="1">IF(OFFSET(Scenarios!$A$39,0,$C$1)="Yes",IF((2*O$84*(1+P$215))/(P$82-P$83)&gt;OFFSET(Scenarios!$A$40,0,$C$1),O$84*(1+P$215),0.5*(P$82-P$83)*OFFSET(Scenarios!$A$40,0,$C$1)),O$84*(1+P$215))</f>
        <v>322.8341469309786</v>
      </c>
      <c r="Q84" s="420">
        <f ca="1">IF(OFFSET(Scenarios!$A$39,0,$C$1)="Yes",IF((2*P$84*(1+Q$215))/(Q$82-Q$83)&gt;OFFSET(Scenarios!$A$40,0,$C$1),P$84*(1+Q$215),0.5*(Q$82-Q$83)*OFFSET(Scenarios!$A$40,0,$C$1)),P$84*(1+Q$215))</f>
        <v>332.77778903922206</v>
      </c>
      <c r="R84" s="420">
        <f ca="1">IF(OFFSET(Scenarios!$A$39,0,$C$1)="Yes",IF((2*Q$84*(1+R$215))/(R$82-R$83)&gt;OFFSET(Scenarios!$A$40,0,$C$1),Q$84*(1+R$215),0.5*(R$82-R$83)*OFFSET(Scenarios!$A$40,0,$C$1)),Q$84*(1+R$215))</f>
        <v>344.52484499230656</v>
      </c>
      <c r="S84" s="420">
        <f ca="1">IF(OFFSET(Scenarios!$A$39,0,$C$1)="Yes",IF((2*R$84*(1+S$215))/(S$82-S$83)&gt;OFFSET(Scenarios!$A$40,0,$C$1),R$84*(1+S$215),0.5*(S$82-S$83)*OFFSET(Scenarios!$A$40,0,$C$1)),R$84*(1+S$215))</f>
        <v>356.6865720205349</v>
      </c>
      <c r="T84" s="420">
        <f ca="1">IF(OFFSET(Scenarios!$A$39,0,$C$1)="Yes",IF((2*S$84*(1+T$215))/(T$82-T$83)&gt;OFFSET(Scenarios!$A$40,0,$C$1),S$84*(1+T$215),0.5*(T$82-T$83)*OFFSET(Scenarios!$A$40,0,$C$1)),S$84*(1+T$215))</f>
        <v>369.2776080128598</v>
      </c>
      <c r="V84" s="58"/>
      <c r="W84" s="58"/>
      <c r="X84" s="58"/>
      <c r="Y84" s="58"/>
    </row>
    <row r="85" spans="1:25" s="304" customFormat="1" ht="12.75">
      <c r="A85" s="302" t="s">
        <v>650</v>
      </c>
      <c r="B85" s="421"/>
      <c r="C85" s="303"/>
      <c r="D85" s="247">
        <f>Data!C$187</f>
        <v>1.268</v>
      </c>
      <c r="E85" s="247">
        <f>Data!D$187</f>
        <v>1.383</v>
      </c>
      <c r="F85" s="224">
        <f>Data!E$187</f>
        <v>1.292393</v>
      </c>
      <c r="G85" s="224">
        <f>Data!F$187</f>
        <v>1.321248</v>
      </c>
      <c r="H85" s="224">
        <f>Data!G$187</f>
        <v>1.332607</v>
      </c>
      <c r="I85" s="224">
        <f>Data!H$187</f>
        <v>1.399088</v>
      </c>
      <c r="J85" s="224">
        <f>Data!I$187</f>
        <v>1.495938</v>
      </c>
      <c r="K85" s="303">
        <f>J$85*K$73/J$73</f>
        <v>1.5998741885516061</v>
      </c>
      <c r="L85" s="303">
        <f aca="true" t="shared" si="45" ref="L85:S85">K$85*L$73/K$73</f>
        <v>1.7071943292452734</v>
      </c>
      <c r="M85" s="303">
        <f t="shared" si="45"/>
        <v>1.8171897905584975</v>
      </c>
      <c r="N85" s="303">
        <f t="shared" si="45"/>
        <v>1.9331736906774386</v>
      </c>
      <c r="O85" s="303">
        <f t="shared" si="45"/>
        <v>2.0544813479792565</v>
      </c>
      <c r="P85" s="303">
        <f t="shared" si="45"/>
        <v>2.1843267768955728</v>
      </c>
      <c r="Q85" s="303">
        <f t="shared" si="45"/>
        <v>2.322164394049509</v>
      </c>
      <c r="R85" s="303">
        <f t="shared" si="45"/>
        <v>2.4815896578926866</v>
      </c>
      <c r="S85" s="303">
        <f t="shared" si="45"/>
        <v>2.65088612088338</v>
      </c>
      <c r="T85" s="303">
        <f>S$85*T$73/S$73</f>
        <v>2.829563524510287</v>
      </c>
      <c r="V85" s="58"/>
      <c r="W85" s="58"/>
      <c r="X85" s="58"/>
      <c r="Y85" s="58"/>
    </row>
    <row r="86" spans="1:25" s="304" customFormat="1" ht="12.75">
      <c r="A86" s="394" t="s">
        <v>141</v>
      </c>
      <c r="B86" s="297"/>
      <c r="C86" s="303"/>
      <c r="D86" s="247">
        <f>Data!C$184</f>
        <v>52</v>
      </c>
      <c r="E86" s="247">
        <f>Data!D$184</f>
        <v>37</v>
      </c>
      <c r="F86" s="224">
        <f>Data!E$184</f>
        <v>39</v>
      </c>
      <c r="G86" s="224">
        <f>Data!F$184</f>
        <v>45</v>
      </c>
      <c r="H86" s="224">
        <f>Data!G$184</f>
        <v>45</v>
      </c>
      <c r="I86" s="224">
        <f>Data!H$184</f>
        <v>40</v>
      </c>
      <c r="J86" s="224">
        <f>Data!I$184</f>
        <v>38</v>
      </c>
      <c r="K86" s="303">
        <f aca="true" t="shared" si="46" ref="K86:T86">J$86*(K$222*K$225)/(J$222*J$225)</f>
        <v>38.357656819444536</v>
      </c>
      <c r="L86" s="303">
        <f t="shared" si="46"/>
        <v>38.725710957363</v>
      </c>
      <c r="M86" s="303">
        <f t="shared" si="46"/>
        <v>39.087116396377745</v>
      </c>
      <c r="N86" s="303">
        <f t="shared" si="46"/>
        <v>39.41579423882124</v>
      </c>
      <c r="O86" s="303">
        <f t="shared" si="46"/>
        <v>39.68754290657761</v>
      </c>
      <c r="P86" s="303">
        <f t="shared" si="46"/>
        <v>39.950131927055644</v>
      </c>
      <c r="Q86" s="303">
        <f t="shared" si="46"/>
        <v>40.20541794128987</v>
      </c>
      <c r="R86" s="303">
        <f t="shared" si="46"/>
        <v>40.45035695842629</v>
      </c>
      <c r="S86" s="303">
        <f t="shared" si="46"/>
        <v>40.69584076385932</v>
      </c>
      <c r="T86" s="303">
        <f t="shared" si="46"/>
        <v>40.922620116940365</v>
      </c>
      <c r="V86" s="58"/>
      <c r="W86" s="58"/>
      <c r="X86" s="58"/>
      <c r="Y86" s="58"/>
    </row>
    <row r="87" spans="1:25" s="304" customFormat="1" ht="12.75">
      <c r="A87" s="214"/>
      <c r="B87" s="422"/>
      <c r="C87" s="303"/>
      <c r="D87" s="247"/>
      <c r="E87" s="24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V87" s="58"/>
      <c r="W87" s="58"/>
      <c r="X87" s="58"/>
      <c r="Y87" s="58"/>
    </row>
    <row r="88" spans="1:25" s="304" customFormat="1" ht="12.75">
      <c r="A88" s="394" t="s">
        <v>142</v>
      </c>
      <c r="C88" s="303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V88" s="58"/>
      <c r="W88" s="58"/>
      <c r="X88" s="58"/>
      <c r="Y88" s="58"/>
    </row>
    <row r="89" spans="1:25" s="304" customFormat="1" ht="12.75">
      <c r="A89" s="382" t="s">
        <v>586</v>
      </c>
      <c r="C89" s="303"/>
      <c r="D89" s="141">
        <f ca="1">Data!C$41+IF(OFFSET(Scenarios!$A$61,0,$C$1)="Yes",OFFSET(Scenarios!$A$62,0,$C$1)*D$70,0)</f>
        <v>10.355</v>
      </c>
      <c r="E89" s="141">
        <f ca="1">Data!D$41+IF(OFFSET(Scenarios!$A$61,0,$C$1)="Yes",OFFSET(Scenarios!$A$62,0,$C$1)*E$70,0)</f>
        <v>11.297</v>
      </c>
      <c r="F89" s="390">
        <f ca="1">Data!E$41+IF(OFFSET(Scenarios!$A$61,0,$C$1)="Yes",OFFSET(Scenarios!$A$62,0,$C$1)*F$70,0)</f>
        <v>12.377</v>
      </c>
      <c r="G89" s="390">
        <f ca="1">Data!F$41+IF(OFFSET(Scenarios!$A$61,0,$C$1)="Yes",OFFSET(Scenarios!$A$62,0,$C$1)*G$70,0)</f>
        <v>12.424</v>
      </c>
      <c r="H89" s="390">
        <f ca="1">Data!G$41+IF(OFFSET(Scenarios!$A$61,0,$C$1)="Yes",OFFSET(Scenarios!$A$62,0,$C$1)*H$70,0)</f>
        <v>12.401</v>
      </c>
      <c r="I89" s="390">
        <f ca="1">Data!H$41+IF(OFFSET(Scenarios!$A$61,0,$C$1)="Yes",OFFSET(Scenarios!$A$62,0,$C$1)*I$70,0)</f>
        <v>12.39</v>
      </c>
      <c r="J89" s="390">
        <f ca="1">Data!I$41+IF(OFFSET(Scenarios!$A$61,0,$C$1)="Yes",OFFSET(Scenarios!$A$62,0,$C$1)*J$70,0)</f>
        <v>12.391</v>
      </c>
      <c r="K89" s="148">
        <f ca="1">J$89*SUM(K$91,K$92)/SUM(J$91,J$92)+IF(OFFSET(Scenarios!$A$61,0,$C$1)="Yes",(K$70-J$70*SUM(K$91,K$92)/SUM(J$91,J$92))*OFFSET(Scenarios!$A$62,0,$C$1),0)</f>
        <v>12.591704541599775</v>
      </c>
      <c r="L89" s="148">
        <f ca="1">K$89*SUM(L$91,L$92)/SUM(K$91,K$92)+IF(OFFSET(Scenarios!$A$61,0,$C$1)="Yes",(L$70-K$70*SUM(L$91,L$92)/SUM(K$91,K$92))*OFFSET(Scenarios!$A$62,0,$C$1),0)</f>
        <v>12.801888237543613</v>
      </c>
      <c r="M89" s="148">
        <f ca="1">L$89*SUM(M$91,M$92)/SUM(L$91,L$92)+IF(OFFSET(Scenarios!$A$61,0,$C$1)="Yes",(M$70-L$70*SUM(M$91,M$92)/SUM(L$91,L$92))*OFFSET(Scenarios!$A$62,0,$C$1),0)</f>
        <v>13.020715494710924</v>
      </c>
      <c r="N89" s="148">
        <f ca="1">M$89*SUM(N$91,N$92)/SUM(M$91,M$92)+IF(OFFSET(Scenarios!$A$61,0,$C$1)="Yes",(N$70-M$70*SUM(N$91,N$92)/SUM(M$91,M$92))*OFFSET(Scenarios!$A$62,0,$C$1),0)</f>
        <v>13.247696579252032</v>
      </c>
      <c r="O89" s="148">
        <f ca="1">N$89*SUM(O$91,O$92)/SUM(N$91,N$92)+IF(OFFSET(Scenarios!$A$61,0,$C$1)="Yes",(O$70-N$70*SUM(O$91,O$92)/SUM(N$91,N$92))*OFFSET(Scenarios!$A$62,0,$C$1),0)</f>
        <v>13.466532592682084</v>
      </c>
      <c r="P89" s="148">
        <f ca="1">O$89*SUM(P$91,P$92)/SUM(O$91,O$92)+IF(OFFSET(Scenarios!$A$61,0,$C$1)="Yes",(P$70-O$70*SUM(P$91,P$92)/SUM(O$91,O$92))*OFFSET(Scenarios!$A$62,0,$C$1),0)</f>
        <v>13.692029520183318</v>
      </c>
      <c r="Q89" s="148">
        <f ca="1">P$89*SUM(Q$91,Q$92)/SUM(P$91,P$92)+IF(OFFSET(Scenarios!$A$61,0,$C$1)="Yes",(Q$70-P$70*SUM(Q$91,Q$92)/SUM(P$91,P$92))*OFFSET(Scenarios!$A$62,0,$C$1),0)</f>
        <v>13.926131670029601</v>
      </c>
      <c r="R89" s="148">
        <f ca="1">Q$89*SUM(R$91,R$92)/SUM(Q$91,Q$92)+IF(OFFSET(Scenarios!$A$61,0,$C$1)="Yes",(R$70-Q$70*SUM(R$91,R$92)/SUM(Q$91,Q$92))*OFFSET(Scenarios!$A$62,0,$C$1),0)</f>
        <v>14.172551711766722</v>
      </c>
      <c r="S89" s="148">
        <f ca="1">R$89*SUM(S$91,S$92)/SUM(R$91,R$92)+IF(OFFSET(Scenarios!$A$61,0,$C$1)="Yes",(S$70-R$70*SUM(S$91,S$92)/SUM(R$91,R$92))*OFFSET(Scenarios!$A$62,0,$C$1),0)</f>
        <v>14.434223853320164</v>
      </c>
      <c r="T89" s="148">
        <f ca="1">S$89*SUM(T$91,T$92)/SUM(S$91,S$92)+IF(OFFSET(Scenarios!$A$61,0,$C$1)="Yes",(T$70-S$70*SUM(T$91,T$92)/SUM(S$91,S$92))*OFFSET(Scenarios!$A$62,0,$C$1),0)</f>
        <v>14.6820985874846</v>
      </c>
      <c r="V89" s="58"/>
      <c r="W89" s="58"/>
      <c r="X89" s="58"/>
      <c r="Y89" s="58"/>
    </row>
    <row r="90" spans="1:25" s="304" customFormat="1" ht="12.75">
      <c r="A90" s="382" t="s">
        <v>587</v>
      </c>
      <c r="C90" s="303"/>
      <c r="D90" s="141">
        <f>Data!C$16-Data!C$41+D$89</f>
        <v>10.661</v>
      </c>
      <c r="E90" s="141">
        <f>Data!D$16-Data!D$41+E$89</f>
        <v>10.809</v>
      </c>
      <c r="F90" s="390">
        <f>Data!E$16-Data!E$41+F$89</f>
        <v>11.884</v>
      </c>
      <c r="G90" s="390">
        <f>Data!F$16-Data!F$41+G$89</f>
        <v>11.874</v>
      </c>
      <c r="H90" s="390">
        <f>Data!G$16-Data!G$41+H$89</f>
        <v>11.864</v>
      </c>
      <c r="I90" s="390">
        <f>Data!H$16-Data!H$41+I$89</f>
        <v>11.861</v>
      </c>
      <c r="J90" s="390">
        <f>Data!I$16-Data!I$41+J$89</f>
        <v>11.917</v>
      </c>
      <c r="K90" s="148">
        <f aca="true" t="shared" si="47" ref="K90:T90">(J$90-J$89)*SUM(K$91,K$92)/SUM(J$91,J$92)+K$89</f>
        <v>12.110026876139498</v>
      </c>
      <c r="L90" s="148">
        <f t="shared" si="47"/>
        <v>12.312170295118008</v>
      </c>
      <c r="M90" s="148">
        <f t="shared" si="47"/>
        <v>12.522626628235823</v>
      </c>
      <c r="N90" s="148">
        <f t="shared" si="47"/>
        <v>12.740924875711926</v>
      </c>
      <c r="O90" s="148">
        <f t="shared" si="47"/>
        <v>12.95138963013416</v>
      </c>
      <c r="P90" s="148">
        <f t="shared" si="47"/>
        <v>13.168260494877298</v>
      </c>
      <c r="Q90" s="148">
        <f t="shared" si="47"/>
        <v>13.39340740148033</v>
      </c>
      <c r="R90" s="148">
        <f t="shared" si="47"/>
        <v>13.630400996620454</v>
      </c>
      <c r="S90" s="148">
        <f t="shared" si="47"/>
        <v>13.882063244291535</v>
      </c>
      <c r="T90" s="148">
        <f t="shared" si="47"/>
        <v>14.120455884678718</v>
      </c>
      <c r="V90" s="58"/>
      <c r="W90" s="58"/>
      <c r="X90" s="58"/>
      <c r="Y90" s="58"/>
    </row>
    <row r="91" spans="1:25" s="304" customFormat="1" ht="12.75">
      <c r="A91" s="150" t="s">
        <v>403</v>
      </c>
      <c r="C91" s="303"/>
      <c r="D91" s="99">
        <f>SUM(SUM(Popn!D$9:D$13)*Tracks!$M$52,SUM(Popn!D$14:D$18)*Tracks!$M$53,SUM(Popn!D$19:D$23)*Tracks!$M$54,SUM(Popn!D$24:D$28)*Tracks!$M$55,SUM(Popn!D$29:D$33)*Tracks!$M$56,SUM(Popn!D$34:D$38)*Tracks!$M$57,SUM(Popn!D$39:D$43)*Tracks!$M$58,SUM(Popn!D$44:D$48)*Tracks!$M$59,SUM(Popn!D$49:D$53)*Tracks!$M$60,SUM(Popn!D$54:D$58)*Tracks!$M$61,SUM(Popn!D$59:D$63)*Tracks!$M$62,SUM(Popn!D$64:D$68)*Tracks!$M$63,SUM(Popn!D$69:D$73)*Tracks!$M$64,SUM(Popn!D$74:D$78)*Tracks!$M$65,SUM(Popn!D$79:D$83)*Tracks!$M$66,SUM(Popn!D$84:D$88)*Tracks!$M$67,SUM(Popn!D$89:D$93)*Tracks!$M$68,SUM(Popn!D$94:D$99)*Tracks!$M$69)/1000000000</f>
        <v>4.304868445912294</v>
      </c>
      <c r="E91" s="99">
        <f>SUM(SUM(Popn!E$9:E$13)*Tracks!$M$52,SUM(Popn!E$14:E$18)*Tracks!$M$53,SUM(Popn!E$19:E$23)*Tracks!$M$54,SUM(Popn!E$24:E$28)*Tracks!$M$55,SUM(Popn!E$29:E$33)*Tracks!$M$56,SUM(Popn!E$34:E$38)*Tracks!$M$57,SUM(Popn!E$39:E$43)*Tracks!$M$58,SUM(Popn!E$44:E$48)*Tracks!$M$59,SUM(Popn!E$49:E$53)*Tracks!$M$60,SUM(Popn!E$54:E$58)*Tracks!$M$61,SUM(Popn!E$59:E$63)*Tracks!$M$62,SUM(Popn!E$64:E$68)*Tracks!$M$63,SUM(Popn!E$69:E$73)*Tracks!$M$64,SUM(Popn!E$74:E$78)*Tracks!$M$65,SUM(Popn!E$79:E$83)*Tracks!$M$66,SUM(Popn!E$84:E$88)*Tracks!$M$67,SUM(Popn!E$89:E$93)*Tracks!$M$68,SUM(Popn!E$94:E$99)*Tracks!$M$69)/1000000000</f>
        <v>4.389188046636971</v>
      </c>
      <c r="F91" s="224">
        <f>SUM(SUM(Popn!F$9:F$13)*Tracks!$M$52,SUM(Popn!F$14:F$18)*Tracks!$M$53,SUM(Popn!F$19:F$23)*Tracks!$M$54,SUM(Popn!F$24:F$28)*Tracks!$M$55,SUM(Popn!F$29:F$33)*Tracks!$M$56,SUM(Popn!F$34:F$38)*Tracks!$M$57,SUM(Popn!F$39:F$43)*Tracks!$M$58,SUM(Popn!F$44:F$48)*Tracks!$M$59,SUM(Popn!F$49:F$53)*Tracks!$M$60,SUM(Popn!F$54:F$58)*Tracks!$M$61,SUM(Popn!F$59:F$63)*Tracks!$M$62,SUM(Popn!F$64:F$68)*Tracks!$M$63,SUM(Popn!F$69:F$73)*Tracks!$M$64,SUM(Popn!F$74:F$78)*Tracks!$M$65,SUM(Popn!F$79:F$83)*Tracks!$M$66,SUM(Popn!F$84:F$88)*Tracks!$M$67,SUM(Popn!F$89:F$93)*Tracks!$M$68,SUM(Popn!F$94:F$99)*Tracks!$M$69)/1000000000</f>
        <v>4.474355683719251</v>
      </c>
      <c r="G91" s="224">
        <f>SUM(SUM(Popn!G$9:G$13)*Tracks!$M$52,SUM(Popn!G$14:G$18)*Tracks!$M$53,SUM(Popn!G$19:G$23)*Tracks!$M$54,SUM(Popn!G$24:G$28)*Tracks!$M$55,SUM(Popn!G$29:G$33)*Tracks!$M$56,SUM(Popn!G$34:G$38)*Tracks!$M$57,SUM(Popn!G$39:G$43)*Tracks!$M$58,SUM(Popn!G$44:G$48)*Tracks!$M$59,SUM(Popn!G$49:G$53)*Tracks!$M$60,SUM(Popn!G$54:G$58)*Tracks!$M$61,SUM(Popn!G$59:G$63)*Tracks!$M$62,SUM(Popn!G$64:G$68)*Tracks!$M$63,SUM(Popn!G$69:G$73)*Tracks!$M$64,SUM(Popn!G$74:G$78)*Tracks!$M$65,SUM(Popn!G$79:G$83)*Tracks!$M$66,SUM(Popn!G$84:G$88)*Tracks!$M$67,SUM(Popn!G$89:G$93)*Tracks!$M$68,SUM(Popn!G$94:G$99)*Tracks!$M$69)/1000000000</f>
        <v>4.561984197269113</v>
      </c>
      <c r="H91" s="224">
        <f>SUM(SUM(Popn!H$9:H$13)*Tracks!$M$52,SUM(Popn!H$14:H$18)*Tracks!$M$53,SUM(Popn!H$19:H$23)*Tracks!$M$54,SUM(Popn!H$24:H$28)*Tracks!$M$55,SUM(Popn!H$29:H$33)*Tracks!$M$56,SUM(Popn!H$34:H$38)*Tracks!$M$57,SUM(Popn!H$39:H$43)*Tracks!$M$58,SUM(Popn!H$44:H$48)*Tracks!$M$59,SUM(Popn!H$49:H$53)*Tracks!$M$60,SUM(Popn!H$54:H$58)*Tracks!$M$61,SUM(Popn!H$59:H$63)*Tracks!$M$62,SUM(Popn!H$64:H$68)*Tracks!$M$63,SUM(Popn!H$69:H$73)*Tracks!$M$64,SUM(Popn!H$74:H$78)*Tracks!$M$65,SUM(Popn!H$79:H$83)*Tracks!$M$66,SUM(Popn!H$84:H$88)*Tracks!$M$67,SUM(Popn!H$89:H$93)*Tracks!$M$68,SUM(Popn!H$94:H$99)*Tracks!$M$69)/1000000000</f>
        <v>4.6501545240352264</v>
      </c>
      <c r="I91" s="224">
        <f>SUM(SUM(Popn!I$9:I$13)*Tracks!$M$52,SUM(Popn!I$14:I$18)*Tracks!$M$53,SUM(Popn!I$19:I$23)*Tracks!$M$54,SUM(Popn!I$24:I$28)*Tracks!$M$55,SUM(Popn!I$29:I$33)*Tracks!$M$56,SUM(Popn!I$34:I$38)*Tracks!$M$57,SUM(Popn!I$39:I$43)*Tracks!$M$58,SUM(Popn!I$44:I$48)*Tracks!$M$59,SUM(Popn!I$49:I$53)*Tracks!$M$60,SUM(Popn!I$54:I$58)*Tracks!$M$61,SUM(Popn!I$59:I$63)*Tracks!$M$62,SUM(Popn!I$64:I$68)*Tracks!$M$63,SUM(Popn!I$69:I$73)*Tracks!$M$64,SUM(Popn!I$74:I$78)*Tracks!$M$65,SUM(Popn!I$79:I$83)*Tracks!$M$66,SUM(Popn!I$84:I$88)*Tracks!$M$67,SUM(Popn!I$89:I$93)*Tracks!$M$68,SUM(Popn!I$94:I$99)*Tracks!$M$69)/1000000000</f>
        <v>4.737123916952433</v>
      </c>
      <c r="J91" s="224">
        <f>SUM(SUM(Popn!J$9:J$13)*Tracks!$M$52,SUM(Popn!J$14:J$18)*Tracks!$M$53,SUM(Popn!J$19:J$23)*Tracks!$M$54,SUM(Popn!J$24:J$28)*Tracks!$M$55,SUM(Popn!J$29:J$33)*Tracks!$M$56,SUM(Popn!J$34:J$38)*Tracks!$M$57,SUM(Popn!J$39:J$43)*Tracks!$M$58,SUM(Popn!J$44:J$48)*Tracks!$M$59,SUM(Popn!J$49:J$53)*Tracks!$M$60,SUM(Popn!J$54:J$58)*Tracks!$M$61,SUM(Popn!J$59:J$63)*Tracks!$M$62,SUM(Popn!J$64:J$68)*Tracks!$M$63,SUM(Popn!J$69:J$73)*Tracks!$M$64,SUM(Popn!J$74:J$78)*Tracks!$M$65,SUM(Popn!J$79:J$83)*Tracks!$M$66,SUM(Popn!J$84:J$88)*Tracks!$M$67,SUM(Popn!J$89:J$93)*Tracks!$M$68,SUM(Popn!J$94:J$99)*Tracks!$M$69)/1000000000</f>
        <v>4.819665630243673</v>
      </c>
      <c r="K91" s="303">
        <f>SUM(SUM(Popn!K$9:K$13)*Tracks!$M$52,SUM(Popn!K$14:K$18)*Tracks!$M$53,SUM(Popn!K$19:K$23)*Tracks!$M$54,SUM(Popn!K$24:K$28)*Tracks!$M$55,SUM(Popn!K$29:K$33)*Tracks!$M$56,SUM(Popn!K$34:K$38)*Tracks!$M$57,SUM(Popn!K$39:K$43)*Tracks!$M$58,SUM(Popn!K$44:K$48)*Tracks!$M$59,SUM(Popn!K$49:K$53)*Tracks!$M$60,SUM(Popn!K$54:K$58)*Tracks!$M$61,SUM(Popn!K$59:K$63)*Tracks!$M$62,SUM(Popn!K$64:K$68)*Tracks!$M$63,SUM(Popn!K$69:K$73)*Tracks!$M$64,SUM(Popn!K$74:K$78)*Tracks!$M$65,SUM(Popn!K$79:K$83)*Tracks!$M$66,SUM(Popn!K$84:K$88)*Tracks!$M$67,SUM(Popn!K$89:K$93)*Tracks!$M$68,SUM(Popn!K$94:K$99)*Tracks!$M$69)/1000000000</f>
        <v>4.904332160675337</v>
      </c>
      <c r="L91" s="303">
        <f>SUM(SUM(Popn!L$9:L$13)*Tracks!$M$52,SUM(Popn!L$14:L$18)*Tracks!$M$53,SUM(Popn!L$19:L$23)*Tracks!$M$54,SUM(Popn!L$24:L$28)*Tracks!$M$55,SUM(Popn!L$29:L$33)*Tracks!$M$56,SUM(Popn!L$34:L$38)*Tracks!$M$57,SUM(Popn!L$39:L$43)*Tracks!$M$58,SUM(Popn!L$44:L$48)*Tracks!$M$59,SUM(Popn!L$49:L$53)*Tracks!$M$60,SUM(Popn!L$54:L$58)*Tracks!$M$61,SUM(Popn!L$59:L$63)*Tracks!$M$62,SUM(Popn!L$64:L$68)*Tracks!$M$63,SUM(Popn!L$69:L$73)*Tracks!$M$64,SUM(Popn!L$74:L$78)*Tracks!$M$65,SUM(Popn!L$79:L$83)*Tracks!$M$66,SUM(Popn!L$84:L$88)*Tracks!$M$67,SUM(Popn!L$89:L$93)*Tracks!$M$68,SUM(Popn!L$94:L$99)*Tracks!$M$69)/1000000000</f>
        <v>4.991614610763482</v>
      </c>
      <c r="M91" s="303">
        <f>SUM(SUM(Popn!M$9:M$13)*Tracks!$M$52,SUM(Popn!M$14:M$18)*Tracks!$M$53,SUM(Popn!M$19:M$23)*Tracks!$M$54,SUM(Popn!M$24:M$28)*Tracks!$M$55,SUM(Popn!M$29:M$33)*Tracks!$M$56,SUM(Popn!M$34:M$38)*Tracks!$M$57,SUM(Popn!M$39:M$43)*Tracks!$M$58,SUM(Popn!M$44:M$48)*Tracks!$M$59,SUM(Popn!M$49:M$53)*Tracks!$M$60,SUM(Popn!M$54:M$58)*Tracks!$M$61,SUM(Popn!M$59:M$63)*Tracks!$M$62,SUM(Popn!M$64:M$68)*Tracks!$M$63,SUM(Popn!M$69:M$73)*Tracks!$M$64,SUM(Popn!M$74:M$78)*Tracks!$M$65,SUM(Popn!M$79:M$83)*Tracks!$M$66,SUM(Popn!M$84:M$88)*Tracks!$M$67,SUM(Popn!M$89:M$93)*Tracks!$M$68,SUM(Popn!M$94:M$99)*Tracks!$M$69)/1000000000</f>
        <v>5.081834522910167</v>
      </c>
      <c r="N91" s="303">
        <f>SUM(SUM(Popn!N$9:N$13)*Tracks!$M$52,SUM(Popn!N$14:N$18)*Tracks!$M$53,SUM(Popn!N$19:N$23)*Tracks!$M$54,SUM(Popn!N$24:N$28)*Tracks!$M$55,SUM(Popn!N$29:N$33)*Tracks!$M$56,SUM(Popn!N$34:N$38)*Tracks!$M$57,SUM(Popn!N$39:N$43)*Tracks!$M$58,SUM(Popn!N$44:N$48)*Tracks!$M$59,SUM(Popn!N$49:N$53)*Tracks!$M$60,SUM(Popn!N$54:N$58)*Tracks!$M$61,SUM(Popn!N$59:N$63)*Tracks!$M$62,SUM(Popn!N$64:N$68)*Tracks!$M$63,SUM(Popn!N$69:N$73)*Tracks!$M$64,SUM(Popn!N$74:N$78)*Tracks!$M$65,SUM(Popn!N$79:N$83)*Tracks!$M$66,SUM(Popn!N$84:N$88)*Tracks!$M$67,SUM(Popn!N$89:N$93)*Tracks!$M$68,SUM(Popn!N$94:N$99)*Tracks!$M$69)/1000000000</f>
        <v>5.176188249343485</v>
      </c>
      <c r="O91" s="303">
        <f>SUM(SUM(Popn!O$9:O$13)*Tracks!$M$52,SUM(Popn!O$14:O$18)*Tracks!$M$53,SUM(Popn!O$19:O$23)*Tracks!$M$54,SUM(Popn!O$24:O$28)*Tracks!$M$55,SUM(Popn!O$29:O$33)*Tracks!$M$56,SUM(Popn!O$34:O$38)*Tracks!$M$57,SUM(Popn!O$39:O$43)*Tracks!$M$58,SUM(Popn!O$44:O$48)*Tracks!$M$59,SUM(Popn!O$49:O$53)*Tracks!$M$60,SUM(Popn!O$54:O$58)*Tracks!$M$61,SUM(Popn!O$59:O$63)*Tracks!$M$62,SUM(Popn!O$64:O$68)*Tracks!$M$63,SUM(Popn!O$69:O$73)*Tracks!$M$64,SUM(Popn!O$74:O$78)*Tracks!$M$65,SUM(Popn!O$79:O$83)*Tracks!$M$66,SUM(Popn!O$84:O$88)*Tracks!$M$67,SUM(Popn!O$89:O$93)*Tracks!$M$68,SUM(Popn!O$94:O$99)*Tracks!$M$69)/1000000000</f>
        <v>5.266062238350092</v>
      </c>
      <c r="P91" s="303">
        <f>SUM(SUM(Popn!P$9:P$13)*Tracks!$M$52,SUM(Popn!P$14:P$18)*Tracks!$M$53,SUM(Popn!P$19:P$23)*Tracks!$M$54,SUM(Popn!P$24:P$28)*Tracks!$M$55,SUM(Popn!P$29:P$33)*Tracks!$M$56,SUM(Popn!P$34:P$38)*Tracks!$M$57,SUM(Popn!P$39:P$43)*Tracks!$M$58,SUM(Popn!P$44:P$48)*Tracks!$M$59,SUM(Popn!P$49:P$53)*Tracks!$M$60,SUM(Popn!P$54:P$58)*Tracks!$M$61,SUM(Popn!P$59:P$63)*Tracks!$M$62,SUM(Popn!P$64:P$68)*Tracks!$M$63,SUM(Popn!P$69:P$73)*Tracks!$M$64,SUM(Popn!P$74:P$78)*Tracks!$M$65,SUM(Popn!P$79:P$83)*Tracks!$M$66,SUM(Popn!P$84:P$88)*Tracks!$M$67,SUM(Popn!P$89:P$93)*Tracks!$M$68,SUM(Popn!P$94:P$99)*Tracks!$M$69)/1000000000</f>
        <v>5.358524685383355</v>
      </c>
      <c r="Q91" s="303">
        <f>SUM(SUM(Popn!Q$9:Q$13)*Tracks!$M$52,SUM(Popn!Q$14:Q$18)*Tracks!$M$53,SUM(Popn!Q$19:Q$23)*Tracks!$M$54,SUM(Popn!Q$24:Q$28)*Tracks!$M$55,SUM(Popn!Q$29:Q$33)*Tracks!$M$56,SUM(Popn!Q$34:Q$38)*Tracks!$M$57,SUM(Popn!Q$39:Q$43)*Tracks!$M$58,SUM(Popn!Q$44:Q$48)*Tracks!$M$59,SUM(Popn!Q$49:Q$53)*Tracks!$M$60,SUM(Popn!Q$54:Q$58)*Tracks!$M$61,SUM(Popn!Q$59:Q$63)*Tracks!$M$62,SUM(Popn!Q$64:Q$68)*Tracks!$M$63,SUM(Popn!Q$69:Q$73)*Tracks!$M$64,SUM(Popn!Q$74:Q$78)*Tracks!$M$65,SUM(Popn!Q$79:Q$83)*Tracks!$M$66,SUM(Popn!Q$84:Q$88)*Tracks!$M$67,SUM(Popn!Q$89:Q$93)*Tracks!$M$68,SUM(Popn!Q$94:Q$99)*Tracks!$M$69)/1000000000</f>
        <v>5.453917926304425</v>
      </c>
      <c r="R91" s="303">
        <f>SUM(SUM(Popn!R$9:R$13)*Tracks!$M$52,SUM(Popn!R$14:R$18)*Tracks!$M$53,SUM(Popn!R$19:R$23)*Tracks!$M$54,SUM(Popn!R$24:R$28)*Tracks!$M$55,SUM(Popn!R$29:R$33)*Tracks!$M$56,SUM(Popn!R$34:R$38)*Tracks!$M$57,SUM(Popn!R$39:R$43)*Tracks!$M$58,SUM(Popn!R$44:R$48)*Tracks!$M$59,SUM(Popn!R$49:R$53)*Tracks!$M$60,SUM(Popn!R$54:R$58)*Tracks!$M$61,SUM(Popn!R$59:R$63)*Tracks!$M$62,SUM(Popn!R$64:R$68)*Tracks!$M$63,SUM(Popn!R$69:R$73)*Tracks!$M$64,SUM(Popn!R$74:R$78)*Tracks!$M$65,SUM(Popn!R$79:R$83)*Tracks!$M$66,SUM(Popn!R$84:R$88)*Tracks!$M$67,SUM(Popn!R$89:R$93)*Tracks!$M$68,SUM(Popn!R$94:R$99)*Tracks!$M$69)/1000000000</f>
        <v>5.552170555836199</v>
      </c>
      <c r="S91" s="303">
        <f>SUM(SUM(Popn!S$9:S$13)*Tracks!$M$52,SUM(Popn!S$14:S$18)*Tracks!$M$53,SUM(Popn!S$19:S$23)*Tracks!$M$54,SUM(Popn!S$24:S$28)*Tracks!$M$55,SUM(Popn!S$29:S$33)*Tracks!$M$56,SUM(Popn!S$34:S$38)*Tracks!$M$57,SUM(Popn!S$39:S$43)*Tracks!$M$58,SUM(Popn!S$44:S$48)*Tracks!$M$59,SUM(Popn!S$49:S$53)*Tracks!$M$60,SUM(Popn!S$54:S$58)*Tracks!$M$61,SUM(Popn!S$59:S$63)*Tracks!$M$62,SUM(Popn!S$64:S$68)*Tracks!$M$63,SUM(Popn!S$69:S$73)*Tracks!$M$64,SUM(Popn!S$74:S$78)*Tracks!$M$65,SUM(Popn!S$79:S$83)*Tracks!$M$66,SUM(Popn!S$84:S$88)*Tracks!$M$67,SUM(Popn!S$89:S$93)*Tracks!$M$68,SUM(Popn!S$94:S$99)*Tracks!$M$69)/1000000000</f>
        <v>5.65576830880267</v>
      </c>
      <c r="T91" s="303">
        <f>SUM(SUM(Popn!T$9:T$13)*Tracks!$M$52,SUM(Popn!T$14:T$18)*Tracks!$M$53,SUM(Popn!T$19:T$23)*Tracks!$M$54,SUM(Popn!T$24:T$28)*Tracks!$M$55,SUM(Popn!T$29:T$33)*Tracks!$M$56,SUM(Popn!T$34:T$38)*Tracks!$M$57,SUM(Popn!T$39:T$43)*Tracks!$M$58,SUM(Popn!T$44:T$48)*Tracks!$M$59,SUM(Popn!T$49:T$53)*Tracks!$M$60,SUM(Popn!T$54:T$58)*Tracks!$M$61,SUM(Popn!T$59:T$63)*Tracks!$M$62,SUM(Popn!T$64:T$68)*Tracks!$M$63,SUM(Popn!T$69:T$73)*Tracks!$M$64,SUM(Popn!T$74:T$78)*Tracks!$M$65,SUM(Popn!T$79:T$83)*Tracks!$M$66,SUM(Popn!T$84:T$88)*Tracks!$M$67,SUM(Popn!T$89:T$93)*Tracks!$M$68,SUM(Popn!T$94:T$99)*Tracks!$M$69)/1000000000</f>
        <v>5.753763601744691</v>
      </c>
      <c r="V91" s="58"/>
      <c r="W91" s="58"/>
      <c r="X91" s="58"/>
      <c r="Y91" s="58"/>
    </row>
    <row r="92" spans="1:25" s="304" customFormat="1" ht="12.75">
      <c r="A92" s="150" t="s">
        <v>404</v>
      </c>
      <c r="C92" s="303"/>
      <c r="D92" s="99">
        <f>SUM(SUM(Popn!D$103:D$107)*Tracks!$L$52,SUM(Popn!D$108:D$112)*Tracks!$L$53,SUM(Popn!D$113:D$117)*Tracks!$L$54,SUM(Popn!D$118:D$122)*Tracks!$L$55,SUM(Popn!D$123:D$127)*Tracks!$L$56,SUM(Popn!D$128:D$132)*Tracks!$L$57,SUM(Popn!D$133:D$137)*Tracks!$L$58,SUM(Popn!D$138:D$142)*Tracks!$L$59,SUM(Popn!D$143:D$147)*Tracks!$L$60,SUM(Popn!D$148:D$152)*Tracks!$L$61,SUM(Popn!D$153:D$157)*Tracks!$L$62,SUM(Popn!D$158:D$162)*Tracks!$L$63,SUM(Popn!D$163:D$167)*Tracks!$L$64,SUM(Popn!D$168:D$172)*Tracks!$L$65,SUM(Popn!D$173:D$177)*Tracks!$L$66,SUM(Popn!D$178:D$182)*Tracks!$L$67,SUM(Popn!D$183:D$187)*Tracks!$L$68,SUM(Popn!D$188:D$193)*Tracks!$L$69)/1000000000</f>
        <v>5.025776039521337</v>
      </c>
      <c r="E92" s="99">
        <f>SUM(SUM(Popn!E$103:E$107)*Tracks!$L$52,SUM(Popn!E$108:E$112)*Tracks!$L$53,SUM(Popn!E$113:E$117)*Tracks!$L$54,SUM(Popn!E$118:E$122)*Tracks!$L$55,SUM(Popn!E$123:E$127)*Tracks!$L$56,SUM(Popn!E$128:E$132)*Tracks!$L$57,SUM(Popn!E$133:E$137)*Tracks!$L$58,SUM(Popn!E$138:E$142)*Tracks!$L$59,SUM(Popn!E$143:E$147)*Tracks!$L$60,SUM(Popn!E$148:E$152)*Tracks!$L$61,SUM(Popn!E$153:E$157)*Tracks!$L$62,SUM(Popn!E$158:E$162)*Tracks!$L$63,SUM(Popn!E$163:E$167)*Tracks!$L$64,SUM(Popn!E$168:E$172)*Tracks!$L$65,SUM(Popn!E$173:E$177)*Tracks!$L$66,SUM(Popn!E$178:E$182)*Tracks!$L$67,SUM(Popn!E$183:E$187)*Tracks!$L$68,SUM(Popn!E$188:E$193)*Tracks!$L$69)/1000000000</f>
        <v>5.10162470786928</v>
      </c>
      <c r="F92" s="224">
        <f>SUM(SUM(Popn!F$103:F$107)*Tracks!$L$52,SUM(Popn!F$108:F$112)*Tracks!$L$53,SUM(Popn!F$113:F$117)*Tracks!$L$54,SUM(Popn!F$118:F$122)*Tracks!$L$55,SUM(Popn!F$123:F$127)*Tracks!$L$56,SUM(Popn!F$128:F$132)*Tracks!$L$57,SUM(Popn!F$133:F$137)*Tracks!$L$58,SUM(Popn!F$138:F$142)*Tracks!$L$59,SUM(Popn!F$143:F$147)*Tracks!$L$60,SUM(Popn!F$148:F$152)*Tracks!$L$61,SUM(Popn!F$153:F$157)*Tracks!$L$62,SUM(Popn!F$158:F$162)*Tracks!$L$63,SUM(Popn!F$163:F$167)*Tracks!$L$64,SUM(Popn!F$168:F$172)*Tracks!$L$65,SUM(Popn!F$173:F$177)*Tracks!$L$66,SUM(Popn!F$178:F$182)*Tracks!$L$67,SUM(Popn!F$183:F$187)*Tracks!$L$68,SUM(Popn!F$188:F$193)*Tracks!$L$69)/1000000000</f>
        <v>5.179340694711305</v>
      </c>
      <c r="G92" s="224">
        <f>SUM(SUM(Popn!G$103:G$107)*Tracks!$L$52,SUM(Popn!G$108:G$112)*Tracks!$L$53,SUM(Popn!G$113:G$117)*Tracks!$L$54,SUM(Popn!G$118:G$122)*Tracks!$L$55,SUM(Popn!G$123:G$127)*Tracks!$L$56,SUM(Popn!G$128:G$132)*Tracks!$L$57,SUM(Popn!G$133:G$137)*Tracks!$L$58,SUM(Popn!G$138:G$142)*Tracks!$L$59,SUM(Popn!G$143:G$147)*Tracks!$L$60,SUM(Popn!G$148:G$152)*Tracks!$L$61,SUM(Popn!G$153:G$157)*Tracks!$L$62,SUM(Popn!G$158:G$162)*Tracks!$L$63,SUM(Popn!G$163:G$167)*Tracks!$L$64,SUM(Popn!G$168:G$172)*Tracks!$L$65,SUM(Popn!G$173:G$177)*Tracks!$L$66,SUM(Popn!G$178:G$182)*Tracks!$L$67,SUM(Popn!G$183:G$187)*Tracks!$L$68,SUM(Popn!G$188:G$193)*Tracks!$L$69)/1000000000</f>
        <v>5.262754018400344</v>
      </c>
      <c r="H92" s="224">
        <f>SUM(SUM(Popn!H$103:H$107)*Tracks!$L$52,SUM(Popn!H$108:H$112)*Tracks!$L$53,SUM(Popn!H$113:H$117)*Tracks!$L$54,SUM(Popn!H$118:H$122)*Tracks!$L$55,SUM(Popn!H$123:H$127)*Tracks!$L$56,SUM(Popn!H$128:H$132)*Tracks!$L$57,SUM(Popn!H$133:H$137)*Tracks!$L$58,SUM(Popn!H$138:H$142)*Tracks!$L$59,SUM(Popn!H$143:H$147)*Tracks!$L$60,SUM(Popn!H$148:H$152)*Tracks!$L$61,SUM(Popn!H$153:H$157)*Tracks!$L$62,SUM(Popn!H$158:H$162)*Tracks!$L$63,SUM(Popn!H$163:H$167)*Tracks!$L$64,SUM(Popn!H$168:H$172)*Tracks!$L$65,SUM(Popn!H$173:H$177)*Tracks!$L$66,SUM(Popn!H$178:H$182)*Tracks!$L$67,SUM(Popn!H$183:H$187)*Tracks!$L$68,SUM(Popn!H$188:H$193)*Tracks!$L$69)/1000000000</f>
        <v>5.346709763980142</v>
      </c>
      <c r="I92" s="224">
        <f>SUM(SUM(Popn!I$103:I$107)*Tracks!$L$52,SUM(Popn!I$108:I$112)*Tracks!$L$53,SUM(Popn!I$113:I$117)*Tracks!$L$54,SUM(Popn!I$118:I$122)*Tracks!$L$55,SUM(Popn!I$123:I$127)*Tracks!$L$56,SUM(Popn!I$128:I$132)*Tracks!$L$57,SUM(Popn!I$133:I$137)*Tracks!$L$58,SUM(Popn!I$138:I$142)*Tracks!$L$59,SUM(Popn!I$143:I$147)*Tracks!$L$60,SUM(Popn!I$148:I$152)*Tracks!$L$61,SUM(Popn!I$153:I$157)*Tracks!$L$62,SUM(Popn!I$158:I$162)*Tracks!$L$63,SUM(Popn!I$163:I$167)*Tracks!$L$64,SUM(Popn!I$168:I$172)*Tracks!$L$65,SUM(Popn!I$173:I$177)*Tracks!$L$66,SUM(Popn!I$178:I$182)*Tracks!$L$67,SUM(Popn!I$183:I$187)*Tracks!$L$68,SUM(Popn!I$188:I$193)*Tracks!$L$69)/1000000000</f>
        <v>5.429425033988031</v>
      </c>
      <c r="J92" s="224">
        <f>SUM(SUM(Popn!J$103:J$107)*Tracks!$L$52,SUM(Popn!J$108:J$112)*Tracks!$L$53,SUM(Popn!J$113:J$117)*Tracks!$L$54,SUM(Popn!J$118:J$122)*Tracks!$L$55,SUM(Popn!J$123:J$127)*Tracks!$L$56,SUM(Popn!J$128:J$132)*Tracks!$L$57,SUM(Popn!J$133:J$137)*Tracks!$L$58,SUM(Popn!J$138:J$142)*Tracks!$L$59,SUM(Popn!J$143:J$147)*Tracks!$L$60,SUM(Popn!J$148:J$152)*Tracks!$L$61,SUM(Popn!J$153:J$157)*Tracks!$L$62,SUM(Popn!J$158:J$162)*Tracks!$L$63,SUM(Popn!J$163:J$167)*Tracks!$L$64,SUM(Popn!J$168:J$172)*Tracks!$L$65,SUM(Popn!J$173:J$177)*Tracks!$L$66,SUM(Popn!J$178:J$182)*Tracks!$L$67,SUM(Popn!J$183:J$187)*Tracks!$L$68,SUM(Popn!J$188:J$193)*Tracks!$L$69)/1000000000</f>
        <v>5.510783330020507</v>
      </c>
      <c r="K92" s="303">
        <f>SUM(SUM(Popn!K$103:K$107)*Tracks!$L$52,SUM(Popn!K$108:K$112)*Tracks!$L$53,SUM(Popn!K$113:K$117)*Tracks!$L$54,SUM(Popn!K$118:K$122)*Tracks!$L$55,SUM(Popn!K$123:K$127)*Tracks!$L$56,SUM(Popn!K$128:K$132)*Tracks!$L$57,SUM(Popn!K$133:K$137)*Tracks!$L$58,SUM(Popn!K$138:K$142)*Tracks!$L$59,SUM(Popn!K$143:K$147)*Tracks!$L$60,SUM(Popn!K$148:K$152)*Tracks!$L$61,SUM(Popn!K$153:K$157)*Tracks!$L$62,SUM(Popn!K$158:K$162)*Tracks!$L$63,SUM(Popn!K$163:K$167)*Tracks!$L$64,SUM(Popn!K$168:K$172)*Tracks!$L$65,SUM(Popn!K$173:K$177)*Tracks!$L$66,SUM(Popn!K$178:K$182)*Tracks!$L$67,SUM(Popn!K$183:K$187)*Tracks!$L$68,SUM(Popn!K$188:K$193)*Tracks!$L$69)/1000000000</f>
        <v>5.593445346363898</v>
      </c>
      <c r="L92" s="303">
        <f>SUM(SUM(Popn!L$103:L$107)*Tracks!$L$52,SUM(Popn!L$108:L$112)*Tracks!$L$53,SUM(Popn!L$113:L$117)*Tracks!$L$54,SUM(Popn!L$118:L$122)*Tracks!$L$55,SUM(Popn!L$123:L$127)*Tracks!$L$56,SUM(Popn!L$128:L$132)*Tracks!$L$57,SUM(Popn!L$133:L$137)*Tracks!$L$58,SUM(Popn!L$138:L$142)*Tracks!$L$59,SUM(Popn!L$143:L$147)*Tracks!$L$60,SUM(Popn!L$148:L$152)*Tracks!$L$61,SUM(Popn!L$153:L$157)*Tracks!$L$62,SUM(Popn!L$158:L$162)*Tracks!$L$63,SUM(Popn!L$163:L$167)*Tracks!$L$64,SUM(Popn!L$168:L$172)*Tracks!$L$65,SUM(Popn!L$173:L$177)*Tracks!$L$66,SUM(Popn!L$178:L$182)*Tracks!$L$67,SUM(Popn!L$183:L$187)*Tracks!$L$68,SUM(Popn!L$188:L$193)*Tracks!$L$69)/1000000000</f>
        <v>5.681394269306786</v>
      </c>
      <c r="M92" s="303">
        <f>SUM(SUM(Popn!M$103:M$107)*Tracks!$L$52,SUM(Popn!M$108:M$112)*Tracks!$L$53,SUM(Popn!M$113:M$117)*Tracks!$L$54,SUM(Popn!M$118:M$122)*Tracks!$L$55,SUM(Popn!M$123:M$127)*Tracks!$L$56,SUM(Popn!M$128:M$132)*Tracks!$L$57,SUM(Popn!M$133:M$137)*Tracks!$L$58,SUM(Popn!M$138:M$142)*Tracks!$L$59,SUM(Popn!M$143:M$147)*Tracks!$L$60,SUM(Popn!M$148:M$152)*Tracks!$L$61,SUM(Popn!M$153:M$157)*Tracks!$L$62,SUM(Popn!M$158:M$162)*Tracks!$L$63,SUM(Popn!M$163:M$167)*Tracks!$L$64,SUM(Popn!M$168:M$172)*Tracks!$L$65,SUM(Popn!M$173:M$177)*Tracks!$L$66,SUM(Popn!M$178:M$182)*Tracks!$L$67,SUM(Popn!M$183:M$187)*Tracks!$L$68,SUM(Popn!M$188:M$193)*Tracks!$L$69)/1000000000</f>
        <v>5.773611917589564</v>
      </c>
      <c r="N92" s="303">
        <f>SUM(SUM(Popn!N$103:N$107)*Tracks!$L$52,SUM(Popn!N$108:N$112)*Tracks!$L$53,SUM(Popn!N$113:N$117)*Tracks!$L$54,SUM(Popn!N$118:N$122)*Tracks!$L$55,SUM(Popn!N$123:N$127)*Tracks!$L$56,SUM(Popn!N$128:N$132)*Tracks!$L$57,SUM(Popn!N$133:N$137)*Tracks!$L$58,SUM(Popn!N$138:N$142)*Tracks!$L$59,SUM(Popn!N$143:N$147)*Tracks!$L$60,SUM(Popn!N$148:N$152)*Tracks!$L$61,SUM(Popn!N$153:N$157)*Tracks!$L$62,SUM(Popn!N$158:N$162)*Tracks!$L$63,SUM(Popn!N$163:N$167)*Tracks!$L$64,SUM(Popn!N$168:N$172)*Tracks!$L$65,SUM(Popn!N$173:N$177)*Tracks!$L$66,SUM(Popn!N$178:N$182)*Tracks!$L$67,SUM(Popn!N$183:N$187)*Tracks!$L$68,SUM(Popn!N$188:N$193)*Tracks!$L$69)/1000000000</f>
        <v>5.868493645017706</v>
      </c>
      <c r="O92" s="303">
        <f>SUM(SUM(Popn!O$103:O$107)*Tracks!$L$52,SUM(Popn!O$108:O$112)*Tracks!$L$53,SUM(Popn!O$113:O$117)*Tracks!$L$54,SUM(Popn!O$118:O$122)*Tracks!$L$55,SUM(Popn!O$123:O$127)*Tracks!$L$56,SUM(Popn!O$128:O$132)*Tracks!$L$57,SUM(Popn!O$133:O$137)*Tracks!$L$58,SUM(Popn!O$138:O$142)*Tracks!$L$59,SUM(Popn!O$143:O$147)*Tracks!$L$60,SUM(Popn!O$148:O$152)*Tracks!$L$61,SUM(Popn!O$153:O$157)*Tracks!$L$62,SUM(Popn!O$158:O$162)*Tracks!$L$63,SUM(Popn!O$163:O$167)*Tracks!$L$64,SUM(Popn!O$168:O$172)*Tracks!$L$65,SUM(Popn!O$173:O$177)*Tracks!$L$66,SUM(Popn!O$178:O$182)*Tracks!$L$67,SUM(Popn!O$183:O$187)*Tracks!$L$68,SUM(Popn!O$188:O$193)*Tracks!$L$69)/1000000000</f>
        <v>5.961064516587875</v>
      </c>
      <c r="P92" s="303">
        <f>SUM(SUM(Popn!P$103:P$107)*Tracks!$L$52,SUM(Popn!P$108:P$112)*Tracks!$L$53,SUM(Popn!P$113:P$117)*Tracks!$L$54,SUM(Popn!P$118:P$122)*Tracks!$L$55,SUM(Popn!P$123:P$127)*Tracks!$L$56,SUM(Popn!P$128:P$132)*Tracks!$L$57,SUM(Popn!P$133:P$137)*Tracks!$L$58,SUM(Popn!P$138:P$142)*Tracks!$L$59,SUM(Popn!P$143:P$147)*Tracks!$L$60,SUM(Popn!P$148:P$152)*Tracks!$L$61,SUM(Popn!P$153:P$157)*Tracks!$L$62,SUM(Popn!P$158:P$162)*Tracks!$L$63,SUM(Popn!P$163:P$167)*Tracks!$L$64,SUM(Popn!P$168:P$172)*Tracks!$L$65,SUM(Popn!P$173:P$177)*Tracks!$L$66,SUM(Popn!P$178:P$182)*Tracks!$L$67,SUM(Popn!P$183:P$187)*Tracks!$L$68,SUM(Popn!P$188:P$193)*Tracks!$L$69)/1000000000</f>
        <v>6.056600173036808</v>
      </c>
      <c r="Q92" s="303">
        <f>SUM(SUM(Popn!Q$103:Q$107)*Tracks!$L$52,SUM(Popn!Q$108:Q$112)*Tracks!$L$53,SUM(Popn!Q$113:Q$117)*Tracks!$L$54,SUM(Popn!Q$118:Q$122)*Tracks!$L$55,SUM(Popn!Q$123:Q$127)*Tracks!$L$56,SUM(Popn!Q$128:Q$132)*Tracks!$L$57,SUM(Popn!Q$133:Q$137)*Tracks!$L$58,SUM(Popn!Q$138:Q$142)*Tracks!$L$59,SUM(Popn!Q$143:Q$147)*Tracks!$L$60,SUM(Popn!Q$148:Q$152)*Tracks!$L$61,SUM(Popn!Q$153:Q$157)*Tracks!$L$62,SUM(Popn!Q$158:Q$162)*Tracks!$L$63,SUM(Popn!Q$163:Q$167)*Tracks!$L$64,SUM(Popn!Q$168:Q$172)*Tracks!$L$65,SUM(Popn!Q$173:Q$177)*Tracks!$L$66,SUM(Popn!Q$178:Q$182)*Tracks!$L$67,SUM(Popn!Q$183:Q$187)*Tracks!$L$68,SUM(Popn!Q$188:Q$193)*Tracks!$L$69)/1000000000</f>
        <v>6.156379259649849</v>
      </c>
      <c r="R92" s="303">
        <f>SUM(SUM(Popn!R$103:R$107)*Tracks!$L$52,SUM(Popn!R$108:R$112)*Tracks!$L$53,SUM(Popn!R$113:R$117)*Tracks!$L$54,SUM(Popn!R$118:R$122)*Tracks!$L$55,SUM(Popn!R$123:R$127)*Tracks!$L$56,SUM(Popn!R$128:R$132)*Tracks!$L$57,SUM(Popn!R$133:R$137)*Tracks!$L$58,SUM(Popn!R$138:R$142)*Tracks!$L$59,SUM(Popn!R$143:R$147)*Tracks!$L$60,SUM(Popn!R$148:R$152)*Tracks!$L$61,SUM(Popn!R$153:R$157)*Tracks!$L$62,SUM(Popn!R$158:R$162)*Tracks!$L$63,SUM(Popn!R$163:R$167)*Tracks!$L$64,SUM(Popn!R$168:R$172)*Tracks!$L$65,SUM(Popn!R$173:R$177)*Tracks!$L$66,SUM(Popn!R$178:R$182)*Tracks!$L$67,SUM(Popn!R$183:R$187)*Tracks!$L$68,SUM(Popn!R$188:R$193)*Tracks!$L$69)/1000000000</f>
        <v>6.263568455955497</v>
      </c>
      <c r="S92" s="303">
        <f>SUM(SUM(Popn!S$103:S$107)*Tracks!$L$52,SUM(Popn!S$108:S$112)*Tracks!$L$53,SUM(Popn!S$113:S$117)*Tracks!$L$54,SUM(Popn!S$118:S$122)*Tracks!$L$55,SUM(Popn!S$123:S$127)*Tracks!$L$56,SUM(Popn!S$128:S$132)*Tracks!$L$57,SUM(Popn!S$133:S$137)*Tracks!$L$58,SUM(Popn!S$138:S$142)*Tracks!$L$59,SUM(Popn!S$143:S$147)*Tracks!$L$60,SUM(Popn!S$148:S$152)*Tracks!$L$61,SUM(Popn!S$153:S$157)*Tracks!$L$62,SUM(Popn!S$158:S$162)*Tracks!$L$63,SUM(Popn!S$163:S$167)*Tracks!$L$64,SUM(Popn!S$168:S$172)*Tracks!$L$65,SUM(Popn!S$173:S$177)*Tracks!$L$66,SUM(Popn!S$178:S$182)*Tracks!$L$67,SUM(Popn!S$183:S$187)*Tracks!$L$68,SUM(Popn!S$188:S$193)*Tracks!$L$69)/1000000000</f>
        <v>6.3781282933885795</v>
      </c>
      <c r="T92" s="303">
        <f>SUM(SUM(Popn!T$103:T$107)*Tracks!$L$52,SUM(Popn!T$108:T$112)*Tracks!$L$53,SUM(Popn!T$113:T$117)*Tracks!$L$54,SUM(Popn!T$118:T$122)*Tracks!$L$55,SUM(Popn!T$123:T$127)*Tracks!$L$56,SUM(Popn!T$128:T$132)*Tracks!$L$57,SUM(Popn!T$133:T$137)*Tracks!$L$58,SUM(Popn!T$138:T$142)*Tracks!$L$59,SUM(Popn!T$143:T$147)*Tracks!$L$60,SUM(Popn!T$148:T$152)*Tracks!$L$61,SUM(Popn!T$153:T$157)*Tracks!$L$62,SUM(Popn!T$158:T$162)*Tracks!$L$63,SUM(Popn!T$163:T$167)*Tracks!$L$64,SUM(Popn!T$168:T$172)*Tracks!$L$65,SUM(Popn!T$173:T$177)*Tracks!$L$66,SUM(Popn!T$178:T$182)*Tracks!$L$67,SUM(Popn!T$183:T$187)*Tracks!$L$68,SUM(Popn!T$188:T$193)*Tracks!$L$69)/1000000000</f>
        <v>6.486787611843924</v>
      </c>
      <c r="V92" s="58"/>
      <c r="W92" s="58"/>
      <c r="X92" s="58"/>
      <c r="Y92" s="58"/>
    </row>
    <row r="93" spans="1:25" s="304" customFormat="1" ht="12.75">
      <c r="A93" s="150"/>
      <c r="C93" s="303"/>
      <c r="D93" s="247"/>
      <c r="E93" s="247"/>
      <c r="F93" s="224"/>
      <c r="G93" s="224"/>
      <c r="H93" s="224"/>
      <c r="I93" s="224"/>
      <c r="J93" s="224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V93" s="58"/>
      <c r="W93" s="58"/>
      <c r="X93" s="58"/>
      <c r="Y93" s="58"/>
    </row>
    <row r="94" spans="1:25" s="304" customFormat="1" ht="12.75">
      <c r="A94" s="394" t="s">
        <v>143</v>
      </c>
      <c r="C94" s="303"/>
      <c r="D94" s="247"/>
      <c r="E94" s="247"/>
      <c r="F94" s="224"/>
      <c r="G94" s="224"/>
      <c r="H94" s="224"/>
      <c r="I94" s="224"/>
      <c r="J94" s="224"/>
      <c r="V94" s="58"/>
      <c r="W94" s="58"/>
      <c r="X94" s="58"/>
      <c r="Y94" s="58"/>
    </row>
    <row r="95" spans="1:25" s="304" customFormat="1" ht="12.75">
      <c r="A95" s="382" t="s">
        <v>588</v>
      </c>
      <c r="C95" s="303"/>
      <c r="D95" s="141">
        <f ca="1">Data!C$42+IF(OFFSET(Scenarios!$A$61,0,$C$1)="Yes",OFFSET(Scenarios!$A$63,0,$C$1)*D$70,0)</f>
        <v>9.269</v>
      </c>
      <c r="E95" s="141">
        <f ca="1">Data!D$42+IF(OFFSET(Scenarios!$A$61,0,$C$1)="Yes",OFFSET(Scenarios!$A$63,0,$C$1)*E$70,0)</f>
        <v>9.551</v>
      </c>
      <c r="F95" s="390">
        <f ca="1">Data!E$42+IF(OFFSET(Scenarios!$A$61,0,$C$1)="Yes",OFFSET(Scenarios!$A$63,0,$C$1)*F$70,0)</f>
        <v>10.739</v>
      </c>
      <c r="G95" s="390">
        <f ca="1">Data!F$42+IF(OFFSET(Scenarios!$A$61,0,$C$1)="Yes",OFFSET(Scenarios!$A$63,0,$C$1)*G$70,0)</f>
        <v>11.117</v>
      </c>
      <c r="H95" s="390">
        <f ca="1">Data!G$42+IF(OFFSET(Scenarios!$A$61,0,$C$1)="Yes",OFFSET(Scenarios!$A$63,0,$C$1)*H$70,0)</f>
        <v>11.302</v>
      </c>
      <c r="I95" s="390">
        <f ca="1">Data!H$42+IF(OFFSET(Scenarios!$A$61,0,$C$1)="Yes",OFFSET(Scenarios!$A$63,0,$C$1)*I$70,0)</f>
        <v>11.419</v>
      </c>
      <c r="J95" s="390">
        <f ca="1">Data!I$42+IF(OFFSET(Scenarios!$A$61,0,$C$1)="Yes",OFFSET(Scenarios!$A$63,0,$C$1)*J$70,0)</f>
        <v>11.488</v>
      </c>
      <c r="K95" s="106">
        <f ca="1">J$95*(1+AVERAGE(Popn!K$198:K$200))+IF(OFFSET(Scenarios!$A$61,0,$C$1)="Yes",(K$70-J$70*(1+AVERAGE(Popn!K$198:K$200)))*OFFSET(Scenarios!$A$63,0,$C$1),0)</f>
        <v>11.471767549586461</v>
      </c>
      <c r="L95" s="106">
        <f ca="1">K$95*(1+AVERAGE(Popn!L$198:L$200))+IF(OFFSET(Scenarios!$A$61,0,$C$1)="Yes",(L$70-K$70*(1+AVERAGE(Popn!L$198:L$200)))*OFFSET(Scenarios!$A$63,0,$C$1),0)</f>
        <v>11.43196244402291</v>
      </c>
      <c r="M95" s="106">
        <f ca="1">L$95*(1+AVERAGE(Popn!M$198:M$200))+IF(OFFSET(Scenarios!$A$61,0,$C$1)="Yes",(M$70-L$70*(1+AVERAGE(Popn!M$198:M$200)))*OFFSET(Scenarios!$A$63,0,$C$1),0)</f>
        <v>11.382420291373462</v>
      </c>
      <c r="N95" s="106">
        <f ca="1">M$95*(1+AVERAGE(Popn!N$198:N$200))+IF(OFFSET(Scenarios!$A$61,0,$C$1)="Yes",(N$70-M$70*(1+AVERAGE(Popn!N$198:N$200)))*OFFSET(Scenarios!$A$63,0,$C$1),0)</f>
        <v>11.344864902189894</v>
      </c>
      <c r="O95" s="106">
        <f ca="1">N$95*(1+AVERAGE(Popn!O$198:O$200))+IF(OFFSET(Scenarios!$A$61,0,$C$1)="Yes",(O$70-N$70*(1+AVERAGE(Popn!O$198:O$200)))*OFFSET(Scenarios!$A$63,0,$C$1),0)</f>
        <v>11.319317955497072</v>
      </c>
      <c r="P95" s="106">
        <f ca="1">O$95*(1+AVERAGE(Popn!P$198:P$200))+IF(OFFSET(Scenarios!$A$61,0,$C$1)="Yes",(P$70-O$70*(1+AVERAGE(Popn!P$198:P$200)))*OFFSET(Scenarios!$A$63,0,$C$1),0)</f>
        <v>11.303750741248301</v>
      </c>
      <c r="Q95" s="106">
        <f ca="1">P$95*(1+AVERAGE(Popn!Q$198:Q$200))+IF(OFFSET(Scenarios!$A$61,0,$C$1)="Yes",(Q$70-P$70*(1+AVERAGE(Popn!Q$198:Q$200)))*OFFSET(Scenarios!$A$63,0,$C$1),0)</f>
        <v>11.280645690988926</v>
      </c>
      <c r="R95" s="106">
        <f ca="1">Q$95*(1+AVERAGE(Popn!R$198:R$200))+IF(OFFSET(Scenarios!$A$61,0,$C$1)="Yes",(R$70-Q$70*(1+AVERAGE(Popn!R$198:R$200)))*OFFSET(Scenarios!$A$63,0,$C$1),0)</f>
        <v>11.26914277465053</v>
      </c>
      <c r="S95" s="106">
        <f ca="1">R$95*(1+AVERAGE(Popn!S$198:S$200))+IF(OFFSET(Scenarios!$A$61,0,$C$1)="Yes",(S$70-R$70*(1+AVERAGE(Popn!S$198:S$200)))*OFFSET(Scenarios!$A$63,0,$C$1),0)</f>
        <v>11.279817015832647</v>
      </c>
      <c r="T95" s="106">
        <f ca="1">S$95*(1+AVERAGE(Popn!T$198:T$200))+IF(OFFSET(Scenarios!$A$61,0,$C$1)="Yes",(T$70-S$70*(1+AVERAGE(Popn!T$198:T$200)))*OFFSET(Scenarios!$A$63,0,$C$1),0)</f>
        <v>11.288567320229438</v>
      </c>
      <c r="V95" s="58"/>
      <c r="W95" s="58"/>
      <c r="X95" s="58"/>
      <c r="Y95" s="58"/>
    </row>
    <row r="96" spans="1:25" s="304" customFormat="1" ht="12.75">
      <c r="A96" s="382" t="s">
        <v>589</v>
      </c>
      <c r="C96" s="303"/>
      <c r="D96" s="141">
        <f>Data!C$17-Data!C$42+D$95</f>
        <v>9.853</v>
      </c>
      <c r="E96" s="141">
        <f>Data!D$17-Data!D$42+E$95</f>
        <v>10.397</v>
      </c>
      <c r="F96" s="390">
        <f>Data!E$17-Data!E$42+F$95</f>
        <v>11.643</v>
      </c>
      <c r="G96" s="390">
        <f>Data!F$17-Data!F$42+G$95</f>
        <v>11.947</v>
      </c>
      <c r="H96" s="390">
        <f>Data!G$17-Data!G$42+H$95</f>
        <v>12.167</v>
      </c>
      <c r="I96" s="390">
        <f>Data!H$17-Data!H$42+I$95</f>
        <v>12.453</v>
      </c>
      <c r="J96" s="390">
        <f>Data!I$17-Data!I$42+J$95</f>
        <v>12.658</v>
      </c>
      <c r="K96" s="106">
        <f>(J$96-J$95)*(1+AVERAGE(Popn!K$198:K$200))+K$95</f>
        <v>12.640114349117813</v>
      </c>
      <c r="L96" s="106">
        <f>(K$96-K$95)*(1+AVERAGE(Popn!L$198:L$200))+L$95</f>
        <v>12.59625527650087</v>
      </c>
      <c r="M96" s="106">
        <f>(L$96-L$95)*(1+AVERAGE(Popn!M$198:M$200))+M$95</f>
        <v>12.541667483304778</v>
      </c>
      <c r="N96" s="106">
        <f>(M$96-M$95)*(1+AVERAGE(Popn!N$198:N$200))+N$95</f>
        <v>12.500287250341199</v>
      </c>
      <c r="O96" s="106">
        <f>(N$96-N$95)*(1+AVERAGE(Popn!O$198:O$200))+O$95</f>
        <v>12.472138464544042</v>
      </c>
      <c r="P96" s="106">
        <f>(O$96-O$95)*(1+AVERAGE(Popn!P$198:P$200))+P$95</f>
        <v>12.454985801072512</v>
      </c>
      <c r="Q96" s="106">
        <f>(P$96-P$95)*(1+AVERAGE(Popn!Q$198:Q$200))+Q$95</f>
        <v>12.429527607637349</v>
      </c>
      <c r="R96" s="106">
        <f>(Q$96-Q$95)*(1+AVERAGE(Popn!R$198:R$200))+R$95</f>
        <v>12.416853172138445</v>
      </c>
      <c r="S96" s="106">
        <f>(R$96-R$95)*(1+AVERAGE(Popn!S$198:S$200))+S$95</f>
        <v>12.428614535725076</v>
      </c>
      <c r="T96" s="106">
        <f>(S$96-S$95)*(1+AVERAGE(Popn!T$198:T$200))+T$95</f>
        <v>12.438256018407404</v>
      </c>
      <c r="V96" s="58"/>
      <c r="W96" s="58"/>
      <c r="X96" s="58"/>
      <c r="Y96" s="58"/>
    </row>
    <row r="97" spans="1:25" s="304" customFormat="1" ht="12.75">
      <c r="A97" s="382"/>
      <c r="B97" s="299"/>
      <c r="C97" s="147"/>
      <c r="D97" s="141"/>
      <c r="E97" s="141"/>
      <c r="F97" s="147"/>
      <c r="G97" s="147"/>
      <c r="H97" s="147"/>
      <c r="I97" s="147"/>
      <c r="J97" s="147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V97" s="58"/>
      <c r="W97" s="58"/>
      <c r="X97" s="58"/>
      <c r="Y97" s="58"/>
    </row>
    <row r="98" spans="1:25" s="304" customFormat="1" ht="12.75">
      <c r="A98" s="394" t="s">
        <v>788</v>
      </c>
      <c r="C98" s="247"/>
      <c r="D98" s="247"/>
      <c r="E98" s="247"/>
      <c r="F98" s="247"/>
      <c r="G98" s="247"/>
      <c r="H98" s="247"/>
      <c r="I98" s="247"/>
      <c r="J98" s="247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V98" s="58"/>
      <c r="W98" s="58"/>
      <c r="X98" s="58"/>
      <c r="Y98" s="58"/>
    </row>
    <row r="99" spans="1:25" s="304" customFormat="1" ht="12.75">
      <c r="A99" s="302" t="s">
        <v>928</v>
      </c>
      <c r="B99" s="297"/>
      <c r="C99" s="247"/>
      <c r="D99" s="247">
        <f>Data!C$40</f>
        <v>0.645</v>
      </c>
      <c r="E99" s="247">
        <f>Data!D$40</f>
        <v>0.69</v>
      </c>
      <c r="F99" s="224">
        <f>Data!E$40</f>
        <v>0.654</v>
      </c>
      <c r="G99" s="224">
        <f>Data!F$40</f>
        <v>0.555</v>
      </c>
      <c r="H99" s="224">
        <f>Data!G$40</f>
        <v>0.545</v>
      </c>
      <c r="I99" s="224">
        <f>Data!H$40</f>
        <v>0.548</v>
      </c>
      <c r="J99" s="224">
        <f>Data!I$40</f>
        <v>0.549</v>
      </c>
      <c r="K99" s="303">
        <f>J$99*Tracks!N$15/Tracks!M$15</f>
        <v>0.5477599538153439</v>
      </c>
      <c r="L99" s="303">
        <f>K$99*Tracks!O$15/Tracks!N$15</f>
        <v>0.5506730351498791</v>
      </c>
      <c r="M99" s="303">
        <f>L$99*Tracks!P$15/Tracks!O$15</f>
        <v>0.5564220928056457</v>
      </c>
      <c r="N99" s="303">
        <f>M$99*Tracks!Q$15/Tracks!P$15</f>
        <v>0.5601425363955047</v>
      </c>
      <c r="O99" s="303">
        <f>N$99*Tracks!R$15/Tracks!Q$15</f>
        <v>0.5624758031097989</v>
      </c>
      <c r="P99" s="303">
        <f>O$99*Tracks!S$15/Tracks!R$15</f>
        <v>0.5649130329442548</v>
      </c>
      <c r="Q99" s="303">
        <f>P$99*Tracks!T$15/Tracks!S$15</f>
        <v>0.567157452418963</v>
      </c>
      <c r="R99" s="303">
        <f>Q$99*Tracks!U$15/Tracks!T$15</f>
        <v>0.5674385173878406</v>
      </c>
      <c r="S99" s="303">
        <f>R$99*Tracks!V$15/Tracks!U$15</f>
        <v>0.5644284100977714</v>
      </c>
      <c r="T99" s="303">
        <f>S$99*Tracks!W$15/Tracks!V$15</f>
        <v>0.5619905982356814</v>
      </c>
      <c r="V99" s="58"/>
      <c r="W99" s="58"/>
      <c r="X99" s="58"/>
      <c r="Y99" s="58"/>
    </row>
    <row r="100" spans="1:25" s="304" customFormat="1" ht="12.75">
      <c r="A100" s="302" t="s">
        <v>621</v>
      </c>
      <c r="B100" s="297"/>
      <c r="C100" s="247"/>
      <c r="D100" s="247">
        <f>Data!C$48</f>
        <v>0</v>
      </c>
      <c r="E100" s="247">
        <f>Data!D$48</f>
        <v>1.102</v>
      </c>
      <c r="F100" s="224">
        <f>Data!E$48</f>
        <v>1.4404000000000001</v>
      </c>
      <c r="G100" s="224">
        <f>Data!F$48</f>
        <v>1.54579</v>
      </c>
      <c r="H100" s="224">
        <f>Data!G$48</f>
        <v>1.6986400000000001</v>
      </c>
      <c r="I100" s="224">
        <f>Data!H$48</f>
        <v>1.78719</v>
      </c>
      <c r="J100" s="224">
        <f>Data!I$48</f>
        <v>1.85282</v>
      </c>
      <c r="K100" s="303">
        <f>Tracks!H$109/1000</f>
        <v>1.8992922536049477</v>
      </c>
      <c r="L100" s="303">
        <f>Tracks!I$109/1000</f>
        <v>1.932438572406954</v>
      </c>
      <c r="M100" s="303">
        <f>Tracks!J$109/1000</f>
        <v>1.9666250032786556</v>
      </c>
      <c r="N100" s="303">
        <f>Tracks!K$109/1000</f>
        <v>2.006261272588974</v>
      </c>
      <c r="O100" s="303">
        <f>Tracks!L$109/1000</f>
        <v>2.045801846590945</v>
      </c>
      <c r="P100" s="303">
        <f>Tracks!M$109/1000</f>
        <v>2.0846662768818405</v>
      </c>
      <c r="Q100" s="303">
        <f>P100*(1+Popn!Q$197)</f>
        <v>2.1006183298839813</v>
      </c>
      <c r="R100" s="303">
        <f>Q100*(1+Popn!R$197)</f>
        <v>2.1163574522565054</v>
      </c>
      <c r="S100" s="303">
        <f>R100*(1+Popn!S$197)</f>
        <v>2.131848155561143</v>
      </c>
      <c r="T100" s="303">
        <f>S100*(1+Popn!T$197)</f>
        <v>2.14708600374311</v>
      </c>
      <c r="V100" s="58"/>
      <c r="W100" s="58"/>
      <c r="X100" s="58"/>
      <c r="Y100" s="58"/>
    </row>
    <row r="101" spans="1:25" s="304" customFormat="1" ht="12.75">
      <c r="A101" s="344" t="s">
        <v>562</v>
      </c>
      <c r="B101" s="297"/>
      <c r="C101" s="247"/>
      <c r="D101" s="247">
        <f ca="1">SUM(Data!C$43:C$47,Data!C$49:C$53,Data!C$57,-Data!C$51)+IF(OFFSET(Scenarios!$A$61,0,$C$1)="Yes",(1-SUM(OFFSET(Scenarios!$A$62,0,$C$1),OFFSET(Scenarios!$A$63,0,$C$1)))*D$70,0)</f>
        <v>14.637</v>
      </c>
      <c r="E101" s="247">
        <f ca="1">SUM(Data!D$43:D$47,Data!D$49:D$53,Data!D$57,-Data!D$51)+IF(OFFSET(Scenarios!$A$61,0,$C$1)="Yes",(1-SUM(OFFSET(Scenarios!$A$62,0,$C$1),OFFSET(Scenarios!$A$63,0,$C$1)))*E$70,0)</f>
        <v>14.02</v>
      </c>
      <c r="F101" s="224">
        <f ca="1">SUM(Data!E$43:E$47,Data!E$49:E$53,Data!E$57,-Data!E$51)+IF(OFFSET(Scenarios!$A$61,0,$C$1)="Yes",(1-SUM(OFFSET(Scenarios!$A$62,0,$C$1),OFFSET(Scenarios!$A$63,0,$C$1)))*F$70,0)</f>
        <v>14.836599999999999</v>
      </c>
      <c r="G101" s="224">
        <f ca="1">SUM(Data!F$43:F$47,Data!F$49:F$53,Data!F$57,-Data!F$51)+IF(OFFSET(Scenarios!$A$61,0,$C$1)="Yes",(1-SUM(OFFSET(Scenarios!$A$62,0,$C$1),OFFSET(Scenarios!$A$63,0,$C$1)))*G$70,0)</f>
        <v>14.89821</v>
      </c>
      <c r="H101" s="224">
        <f ca="1">SUM(Data!G$43:G$47,Data!G$49:G$53,Data!G$57,-Data!G$51)+IF(OFFSET(Scenarios!$A$61,0,$C$1)="Yes",(1-SUM(OFFSET(Scenarios!$A$62,0,$C$1),OFFSET(Scenarios!$A$63,0,$C$1)))*H$70,0)</f>
        <v>14.97636</v>
      </c>
      <c r="I101" s="224">
        <f ca="1">SUM(Data!H$43:H$47,Data!H$49:H$53,Data!H$57,-Data!H$51)+IF(OFFSET(Scenarios!$A$61,0,$C$1)="Yes",(1-SUM(OFFSET(Scenarios!$A$62,0,$C$1),OFFSET(Scenarios!$A$63,0,$C$1)))*I$70,0)</f>
        <v>15.042810000000001</v>
      </c>
      <c r="J101" s="224">
        <f ca="1">SUM(Data!I$43:I$47,Data!I$49:I$53,Data!I$57,-Data!I$51)+IF(OFFSET(Scenarios!$A$61,0,$C$1)="Yes",(1-SUM(OFFSET(Scenarios!$A$62,0,$C$1),OFFSET(Scenarios!$A$63,0,$C$1)))*J$70,0)</f>
        <v>15.27018</v>
      </c>
      <c r="K101" s="303">
        <f ca="1">J$101+IF(OFFSET(Scenarios!$A$61,0,$C$1)="Yes",(K$70-J$70)*(1-SUM(OFFSET(Scenarios!$A$62,0,$C$1),OFFSET(Scenarios!$A$63,0,$C$1))),0)</f>
        <v>15.27018</v>
      </c>
      <c r="L101" s="303">
        <f ca="1">K$101+IF(OFFSET(Scenarios!$A$61,0,$C$1)="Yes",(L$70-K$70)*(1-SUM(OFFSET(Scenarios!$A$62,0,$C$1),OFFSET(Scenarios!$A$63,0,$C$1))),0)</f>
        <v>15.27018</v>
      </c>
      <c r="M101" s="303">
        <f ca="1">L$101+IF(OFFSET(Scenarios!$A$61,0,$C$1)="Yes",(M$70-L$70)*(1-SUM(OFFSET(Scenarios!$A$62,0,$C$1),OFFSET(Scenarios!$A$63,0,$C$1))),0)</f>
        <v>15.27018</v>
      </c>
      <c r="N101" s="303">
        <f ca="1">M$101+IF(OFFSET(Scenarios!$A$61,0,$C$1)="Yes",(N$70-M$70)*(1-SUM(OFFSET(Scenarios!$A$62,0,$C$1),OFFSET(Scenarios!$A$63,0,$C$1))),0)</f>
        <v>15.27018</v>
      </c>
      <c r="O101" s="303">
        <f ca="1">N$101+IF(OFFSET(Scenarios!$A$61,0,$C$1)="Yes",(O$70-N$70)*(1-SUM(OFFSET(Scenarios!$A$62,0,$C$1),OFFSET(Scenarios!$A$63,0,$C$1))),0)</f>
        <v>15.27018</v>
      </c>
      <c r="P101" s="303">
        <f ca="1">O$101+IF(OFFSET(Scenarios!$A$61,0,$C$1)="Yes",(P$70-O$70)*(1-SUM(OFFSET(Scenarios!$A$62,0,$C$1),OFFSET(Scenarios!$A$63,0,$C$1))),0)</f>
        <v>15.27018</v>
      </c>
      <c r="Q101" s="303">
        <f ca="1">P$101+IF(OFFSET(Scenarios!$A$61,0,$C$1)="Yes",(Q$70-P$70)*(1-SUM(OFFSET(Scenarios!$A$62,0,$C$1),OFFSET(Scenarios!$A$63,0,$C$1))),0)</f>
        <v>15.27018</v>
      </c>
      <c r="R101" s="303">
        <f ca="1">Q$101+IF(OFFSET(Scenarios!$A$61,0,$C$1)="Yes",(R$70-Q$70)*(1-SUM(OFFSET(Scenarios!$A$62,0,$C$1),OFFSET(Scenarios!$A$63,0,$C$1))),0)</f>
        <v>15.27018</v>
      </c>
      <c r="S101" s="303">
        <f ca="1">R$101+IF(OFFSET(Scenarios!$A$61,0,$C$1)="Yes",(S$70-R$70)*(1-SUM(OFFSET(Scenarios!$A$62,0,$C$1),OFFSET(Scenarios!$A$63,0,$C$1))),0)</f>
        <v>15.27018</v>
      </c>
      <c r="T101" s="303">
        <f ca="1">S$101+IF(OFFSET(Scenarios!$A$61,0,$C$1)="Yes",(T$70-S$70)*(1-SUM(OFFSET(Scenarios!$A$62,0,$C$1),OFFSET(Scenarios!$A$63,0,$C$1))),0)</f>
        <v>15.27018</v>
      </c>
      <c r="V101" s="58"/>
      <c r="W101" s="58"/>
      <c r="X101" s="58"/>
      <c r="Y101" s="58"/>
    </row>
    <row r="102" spans="1:25" s="304" customFormat="1" ht="12.75">
      <c r="A102" s="344" t="s">
        <v>26</v>
      </c>
      <c r="B102" s="297"/>
      <c r="C102" s="247"/>
      <c r="D102" s="247">
        <f>Data!C$51</f>
        <v>0</v>
      </c>
      <c r="E102" s="247">
        <f>Data!D$51</f>
        <v>0</v>
      </c>
      <c r="F102" s="224">
        <f>Data!E$51</f>
        <v>0.327</v>
      </c>
      <c r="G102" s="224">
        <f>Data!F$51</f>
        <v>0.956</v>
      </c>
      <c r="H102" s="224">
        <f>Data!G$51</f>
        <v>0.629</v>
      </c>
      <c r="I102" s="224">
        <f>Data!H$51</f>
        <v>0.642</v>
      </c>
      <c r="J102" s="224">
        <f>Data!I$51</f>
        <v>1.07</v>
      </c>
      <c r="K102" s="303">
        <f>Tracks!H$117</f>
        <v>1.35</v>
      </c>
      <c r="L102" s="303">
        <f>Tracks!I$117</f>
        <v>1.35</v>
      </c>
      <c r="M102" s="303">
        <f>Tracks!J$117</f>
        <v>1.35</v>
      </c>
      <c r="N102" s="303">
        <f>Tracks!K$117</f>
        <v>1.35</v>
      </c>
      <c r="O102" s="303">
        <f>Tracks!L$117</f>
        <v>1.35</v>
      </c>
      <c r="P102" s="303">
        <f>Tracks!M$117</f>
        <v>1.2479166666666666</v>
      </c>
      <c r="Q102" s="303">
        <f>Tracks!N$117</f>
        <v>1.1458333333333335</v>
      </c>
      <c r="R102" s="303">
        <f>Tracks!O$117</f>
        <v>1.04375</v>
      </c>
      <c r="S102" s="303">
        <f>Tracks!P$117</f>
        <v>0.9416666666666667</v>
      </c>
      <c r="T102" s="303">
        <f>Tracks!Q$117</f>
        <v>0.8395833333333333</v>
      </c>
      <c r="V102" s="58"/>
      <c r="W102" s="58"/>
      <c r="X102" s="58"/>
      <c r="Y102" s="58"/>
    </row>
    <row r="103" spans="1:25" s="304" customFormat="1" ht="12.75">
      <c r="A103" s="382" t="s">
        <v>591</v>
      </c>
      <c r="B103" s="297"/>
      <c r="C103" s="247"/>
      <c r="D103" s="141">
        <f>SUM(D$99:D$102)</f>
        <v>15.282</v>
      </c>
      <c r="E103" s="141">
        <f>SUM(E$99:E$102)</f>
        <v>15.812</v>
      </c>
      <c r="F103" s="390">
        <f aca="true" t="shared" si="48" ref="F103:T103">SUM(F$99:F$102)</f>
        <v>17.258</v>
      </c>
      <c r="G103" s="390">
        <f t="shared" si="48"/>
        <v>17.955000000000002</v>
      </c>
      <c r="H103" s="390">
        <f t="shared" si="48"/>
        <v>17.849</v>
      </c>
      <c r="I103" s="390">
        <f t="shared" si="48"/>
        <v>18.02</v>
      </c>
      <c r="J103" s="390">
        <f t="shared" si="48"/>
        <v>18.742</v>
      </c>
      <c r="K103" s="148">
        <f>SUM(K$99:K$102)</f>
        <v>19.067232207420293</v>
      </c>
      <c r="L103" s="148">
        <f t="shared" si="48"/>
        <v>19.103291607556834</v>
      </c>
      <c r="M103" s="148">
        <f t="shared" si="48"/>
        <v>19.143227096084303</v>
      </c>
      <c r="N103" s="148">
        <f t="shared" si="48"/>
        <v>19.18658380898448</v>
      </c>
      <c r="O103" s="148">
        <f t="shared" si="48"/>
        <v>19.228457649700744</v>
      </c>
      <c r="P103" s="148">
        <f t="shared" si="48"/>
        <v>19.16767597649276</v>
      </c>
      <c r="Q103" s="148">
        <f t="shared" si="48"/>
        <v>19.083789115636275</v>
      </c>
      <c r="R103" s="148">
        <f t="shared" si="48"/>
        <v>18.997725969644346</v>
      </c>
      <c r="S103" s="148">
        <f t="shared" si="48"/>
        <v>18.908123232325583</v>
      </c>
      <c r="T103" s="148">
        <f t="shared" si="48"/>
        <v>18.818839935312123</v>
      </c>
      <c r="V103" s="58"/>
      <c r="W103" s="58"/>
      <c r="X103" s="58"/>
      <c r="Y103" s="58"/>
    </row>
    <row r="104" spans="1:25" s="304" customFormat="1" ht="12.75">
      <c r="A104" s="382" t="s">
        <v>201</v>
      </c>
      <c r="B104" s="299"/>
      <c r="C104" s="247"/>
      <c r="D104" s="141">
        <f>SUM(Data!C$18:C$22,Data!C$24:C$27)-SUM(Data!C$43:C$47,Data!C$49:C$53)+D$103</f>
        <v>25.501</v>
      </c>
      <c r="E104" s="141">
        <f>SUM(Data!D$18:D$22,Data!D$24:D$27)-SUM(Data!D$43:D$47,Data!D$49:D$53)+E$103</f>
        <v>30.025999999999996</v>
      </c>
      <c r="F104" s="390">
        <f>SUM(Data!E$18:E$22,Data!E$24:E$27)-SUM(Data!E$43:E$47,Data!E$49:E$53)+F$103</f>
        <v>31.362000000000002</v>
      </c>
      <c r="G104" s="390">
        <f>SUM(Data!F$18:F$22,Data!F$24:F$27)-SUM(Data!F$43:F$47,Data!F$49:F$53)+G$103</f>
        <v>32.992000000000004</v>
      </c>
      <c r="H104" s="390">
        <f>SUM(Data!G$18:G$22,Data!G$24:G$27)-SUM(Data!G$43:G$47,Data!G$49:G$53)+H$103</f>
        <v>34.126</v>
      </c>
      <c r="I104" s="390">
        <f>SUM(Data!H$18:H$22,Data!H$24:H$27)-SUM(Data!H$43:H$47,Data!H$49:H$53)+I$103</f>
        <v>34.55</v>
      </c>
      <c r="J104" s="390">
        <f>SUM(Data!I$18:I$22,Data!I$24:I$27)-SUM(Data!I$43:I$47,Data!I$49:I$53)+J$103</f>
        <v>35.736000000000004</v>
      </c>
      <c r="K104" s="148">
        <f aca="true" t="shared" si="49" ref="K104:T104">(J$104-J$103)*(1+K$212)+K$103</f>
        <v>36.79203276598457</v>
      </c>
      <c r="L104" s="148">
        <f t="shared" si="49"/>
        <v>37.53249442863423</v>
      </c>
      <c r="M104" s="148">
        <f t="shared" si="49"/>
        <v>38.371554740719944</v>
      </c>
      <c r="N104" s="148">
        <f t="shared" si="49"/>
        <v>39.322597854795774</v>
      </c>
      <c r="O104" s="148">
        <f t="shared" si="49"/>
        <v>40.291489145582574</v>
      </c>
      <c r="P104" s="148">
        <f t="shared" si="49"/>
        <v>41.177490071523444</v>
      </c>
      <c r="Q104" s="148">
        <f t="shared" si="49"/>
        <v>42.062380321995484</v>
      </c>
      <c r="R104" s="148">
        <f t="shared" si="49"/>
        <v>42.96686090440417</v>
      </c>
      <c r="S104" s="148">
        <f t="shared" si="49"/>
        <v>43.900332629658436</v>
      </c>
      <c r="T104" s="148">
        <f t="shared" si="49"/>
        <v>44.837460741998534</v>
      </c>
      <c r="V104" s="58"/>
      <c r="W104" s="58"/>
      <c r="X104" s="58"/>
      <c r="Y104" s="58"/>
    </row>
    <row r="105" spans="1:25" s="304" customFormat="1" ht="12.75">
      <c r="A105" s="382"/>
      <c r="B105" s="299"/>
      <c r="C105" s="247"/>
      <c r="D105" s="141"/>
      <c r="E105" s="141"/>
      <c r="F105" s="390"/>
      <c r="G105" s="390"/>
      <c r="H105" s="390"/>
      <c r="I105" s="390"/>
      <c r="J105" s="390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V105" s="58"/>
      <c r="W105" s="58"/>
      <c r="X105" s="58"/>
      <c r="Y105" s="58"/>
    </row>
    <row r="106" spans="1:25" s="304" customFormat="1" ht="12.75">
      <c r="A106" s="394" t="s">
        <v>144</v>
      </c>
      <c r="B106" s="299"/>
      <c r="C106" s="247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V106" s="58"/>
      <c r="W106" s="58"/>
      <c r="X106" s="58"/>
      <c r="Y106" s="58"/>
    </row>
    <row r="107" spans="1:25" s="304" customFormat="1" ht="12.75">
      <c r="A107" s="382" t="s">
        <v>222</v>
      </c>
      <c r="B107" s="299"/>
      <c r="C107" s="247"/>
      <c r="D107" s="141">
        <f>SUM(Data!C$54:C$55)</f>
        <v>2.329</v>
      </c>
      <c r="E107" s="141">
        <f>SUM(Data!D$54:D$55)</f>
        <v>2.46</v>
      </c>
      <c r="F107" s="390">
        <f>SUM(Data!E$54:E$55)</f>
        <v>2.657</v>
      </c>
      <c r="G107" s="390">
        <f>SUM(Data!F$54:F$55)</f>
        <v>2.626</v>
      </c>
      <c r="H107" s="390">
        <f>SUM(Data!G$54:G$55)</f>
        <v>3.061</v>
      </c>
      <c r="I107" s="390">
        <f>SUM(Data!H$54:H$55)</f>
        <v>3.455</v>
      </c>
      <c r="J107" s="390">
        <f>SUM(Data!I$54:I$55)</f>
        <v>3.858</v>
      </c>
      <c r="K107" s="299">
        <f>J$201*K$218</f>
        <v>3.5288399999999998</v>
      </c>
      <c r="L107" s="299">
        <f aca="true" t="shared" si="50" ref="L107:S107">K$201*L$218</f>
        <v>3.9322539580791736</v>
      </c>
      <c r="M107" s="299">
        <f t="shared" si="50"/>
        <v>4.305461377124809</v>
      </c>
      <c r="N107" s="299">
        <f t="shared" si="50"/>
        <v>4.651937383848486</v>
      </c>
      <c r="O107" s="299">
        <f t="shared" si="50"/>
        <v>4.95951835154502</v>
      </c>
      <c r="P107" s="299">
        <f t="shared" si="50"/>
        <v>5.223039860319947</v>
      </c>
      <c r="Q107" s="299">
        <f t="shared" si="50"/>
        <v>5.4366376624116235</v>
      </c>
      <c r="R107" s="299">
        <f t="shared" si="50"/>
        <v>5.589531524399259</v>
      </c>
      <c r="S107" s="299">
        <f t="shared" si="50"/>
        <v>5.710883930792983</v>
      </c>
      <c r="T107" s="299">
        <f>S$201*T$218</f>
        <v>5.796892312880369</v>
      </c>
      <c r="V107" s="58"/>
      <c r="W107" s="58"/>
      <c r="X107" s="58"/>
      <c r="Y107" s="58"/>
    </row>
    <row r="108" spans="1:25" s="304" customFormat="1" ht="12.75">
      <c r="A108" s="382" t="s">
        <v>223</v>
      </c>
      <c r="B108" s="299"/>
      <c r="C108" s="247"/>
      <c r="D108" s="141">
        <f>SUM(Data!C$28:C$29)</f>
        <v>2.885</v>
      </c>
      <c r="E108" s="141">
        <f>SUM(Data!D$28:D$29)</f>
        <v>3.101</v>
      </c>
      <c r="F108" s="390">
        <f>SUM(Data!E$28:E$29)</f>
        <v>3.311</v>
      </c>
      <c r="G108" s="390">
        <f>SUM(Data!F$28:F$29)</f>
        <v>3.457</v>
      </c>
      <c r="H108" s="390">
        <f>SUM(Data!G$28:G$29)</f>
        <v>4.009</v>
      </c>
      <c r="I108" s="390">
        <f>SUM(Data!H$28:H$29)</f>
        <v>4.434</v>
      </c>
      <c r="J108" s="390">
        <f>SUM(Data!I$28:I$29)</f>
        <v>4.916</v>
      </c>
      <c r="K108" s="148">
        <f aca="true" t="shared" si="51" ref="K108:S108">SUM(J$199,J$196)*K$218</f>
        <v>4.581899999999999</v>
      </c>
      <c r="L108" s="148">
        <f t="shared" si="51"/>
        <v>4.992996644933184</v>
      </c>
      <c r="M108" s="148">
        <f t="shared" si="51"/>
        <v>5.405829859147827</v>
      </c>
      <c r="N108" s="148">
        <f t="shared" si="51"/>
        <v>5.798211880147399</v>
      </c>
      <c r="O108" s="148">
        <f t="shared" si="51"/>
        <v>6.158966574513499</v>
      </c>
      <c r="P108" s="148">
        <f t="shared" si="51"/>
        <v>6.476160295998399</v>
      </c>
      <c r="Q108" s="148">
        <f t="shared" si="51"/>
        <v>6.743900908552641</v>
      </c>
      <c r="R108" s="148">
        <f t="shared" si="51"/>
        <v>6.951511496587389</v>
      </c>
      <c r="S108" s="148">
        <f t="shared" si="51"/>
        <v>7.128068932007186</v>
      </c>
      <c r="T108" s="148">
        <f>SUM(S$199,S$196)*T$218</f>
        <v>7.270507554015362</v>
      </c>
      <c r="V108" s="58"/>
      <c r="W108" s="58"/>
      <c r="X108" s="58"/>
      <c r="Y108" s="58"/>
    </row>
    <row r="109" spans="1:25" s="304" customFormat="1" ht="12.75">
      <c r="A109" s="382"/>
      <c r="B109" s="299"/>
      <c r="C109" s="247"/>
      <c r="D109" s="141"/>
      <c r="E109" s="141"/>
      <c r="F109" s="390"/>
      <c r="G109" s="390"/>
      <c r="H109" s="390"/>
      <c r="I109" s="390"/>
      <c r="J109" s="390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V109" s="58"/>
      <c r="W109" s="58"/>
      <c r="X109" s="58"/>
      <c r="Y109" s="58"/>
    </row>
    <row r="110" spans="1:25" s="304" customFormat="1" ht="12.75">
      <c r="A110" s="394" t="s">
        <v>145</v>
      </c>
      <c r="B110" s="299"/>
      <c r="C110" s="247"/>
      <c r="D110" s="247"/>
      <c r="E110" s="247"/>
      <c r="F110" s="247"/>
      <c r="G110" s="247"/>
      <c r="H110" s="247"/>
      <c r="I110" s="247"/>
      <c r="J110" s="247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V110" s="58"/>
      <c r="W110" s="58"/>
      <c r="X110" s="58"/>
      <c r="Y110" s="58"/>
    </row>
    <row r="111" spans="1:25" s="304" customFormat="1" ht="12.75">
      <c r="A111" s="302" t="s">
        <v>577</v>
      </c>
      <c r="B111" s="297"/>
      <c r="C111" s="247"/>
      <c r="D111" s="121">
        <f>Data!C$85</f>
        <v>9.83</v>
      </c>
      <c r="E111" s="121">
        <f aca="true" t="shared" si="52" ref="E111:S111">D$117</f>
        <v>12.973</v>
      </c>
      <c r="F111" s="392">
        <f t="shared" si="52"/>
        <v>14.212000000000002</v>
      </c>
      <c r="G111" s="392">
        <f t="shared" si="52"/>
        <v>17.44</v>
      </c>
      <c r="H111" s="392">
        <f t="shared" si="52"/>
        <v>20.636</v>
      </c>
      <c r="I111" s="392">
        <f t="shared" si="52"/>
        <v>24.173</v>
      </c>
      <c r="J111" s="392">
        <f t="shared" si="52"/>
        <v>28.022999999999993</v>
      </c>
      <c r="K111" s="303">
        <f>J$117</f>
        <v>32.15599999999999</v>
      </c>
      <c r="L111" s="303">
        <f>K$117</f>
        <v>36.46441802093435</v>
      </c>
      <c r="M111" s="303">
        <f>L$117</f>
        <v>40.958045391346786</v>
      </c>
      <c r="N111" s="303">
        <f>M$117</f>
        <v>45.70122028977667</v>
      </c>
      <c r="O111" s="303">
        <f t="shared" si="52"/>
        <v>50.75378090233339</v>
      </c>
      <c r="P111" s="303">
        <f t="shared" si="52"/>
        <v>56.125282107360164</v>
      </c>
      <c r="Q111" s="303">
        <f t="shared" si="52"/>
        <v>61.807729965404455</v>
      </c>
      <c r="R111" s="303">
        <f t="shared" si="52"/>
        <v>67.79713697241084</v>
      </c>
      <c r="S111" s="303">
        <f t="shared" si="52"/>
        <v>74.0106957520639</v>
      </c>
      <c r="T111" s="303">
        <f>S$117</f>
        <v>80.43512107475637</v>
      </c>
      <c r="V111" s="58"/>
      <c r="W111" s="58"/>
      <c r="X111" s="58"/>
      <c r="Y111" s="58"/>
    </row>
    <row r="112" spans="1:25" s="304" customFormat="1" ht="12.75">
      <c r="A112" s="391" t="s">
        <v>890</v>
      </c>
      <c r="B112" s="297"/>
      <c r="C112" s="247"/>
      <c r="D112" s="247">
        <f>Data!C$86</f>
        <v>2.0490000000000004</v>
      </c>
      <c r="E112" s="247">
        <f>Data!D$86</f>
        <v>2.103</v>
      </c>
      <c r="F112" s="392">
        <f>Data!E$86</f>
        <v>2.242</v>
      </c>
      <c r="G112" s="392">
        <f>Data!F$86</f>
        <v>1.977</v>
      </c>
      <c r="H112" s="392">
        <f>Data!G$86</f>
        <v>2.096</v>
      </c>
      <c r="I112" s="392">
        <f>Data!H$86</f>
        <v>2.167</v>
      </c>
      <c r="J112" s="392">
        <f>Data!I$86</f>
        <v>2.194</v>
      </c>
      <c r="K112" s="303">
        <f>Tracks!O$6</f>
        <v>2.127967619010681</v>
      </c>
      <c r="L112" s="303">
        <f>Tracks!P$6</f>
        <v>2.03291274611081</v>
      </c>
      <c r="M112" s="303">
        <f>Tracks!Q$6</f>
        <v>1.9884393386259163</v>
      </c>
      <c r="N112" s="303">
        <f>Tracks!R$6</f>
        <v>1.9860824067438525</v>
      </c>
      <c r="O112" s="303">
        <f>Tracks!S$6</f>
        <v>1.9732682045541132</v>
      </c>
      <c r="P112" s="303">
        <f>Tracks!T$6</f>
        <v>1.9323707216941237</v>
      </c>
      <c r="Q112" s="303">
        <f>Tracks!U$6</f>
        <v>1.867784551122151</v>
      </c>
      <c r="R112" s="303">
        <f>Tracks!V$6</f>
        <v>1.7033330509814153</v>
      </c>
      <c r="S112" s="303">
        <f>Tracks!W$6</f>
        <v>1.5117099017022468</v>
      </c>
      <c r="T112" s="303">
        <f>Tracks!X$6</f>
        <v>1.2762818751940017</v>
      </c>
      <c r="V112" s="58"/>
      <c r="W112" s="58"/>
      <c r="X112" s="58"/>
      <c r="Y112" s="58"/>
    </row>
    <row r="113" spans="1:25" s="304" customFormat="1" ht="12.75">
      <c r="A113" s="391" t="s">
        <v>891</v>
      </c>
      <c r="B113" s="297"/>
      <c r="C113" s="247"/>
      <c r="D113" s="247">
        <f>Data!C$87</f>
        <v>0.436</v>
      </c>
      <c r="E113" s="247">
        <f>Data!D$87</f>
        <v>0.385</v>
      </c>
      <c r="F113" s="392">
        <f>Data!E$87</f>
        <v>0.431</v>
      </c>
      <c r="G113" s="392">
        <f>Data!F$87</f>
        <v>0.487</v>
      </c>
      <c r="H113" s="392">
        <f>Data!G$87</f>
        <v>0.562</v>
      </c>
      <c r="I113" s="392">
        <f>Data!H$87</f>
        <v>0.642</v>
      </c>
      <c r="J113" s="392">
        <f>Data!I$87</f>
        <v>0.725</v>
      </c>
      <c r="K113" s="303">
        <f>J$113*Tracks!O$7/Tracks!N$7-(J$115*(Tracks!O$7/Tracks!N$7-1))*J113/SUM(J$113,J$114)</f>
        <v>0.7952306878787309</v>
      </c>
      <c r="L113" s="303">
        <f>K$113*Tracks!P$7/Tracks!O$7-(K$115*(Tracks!P$7/Tracks!O$7-1))*K113/SUM(K$113,K$114)</f>
        <v>0.8894037478998714</v>
      </c>
      <c r="M113" s="303">
        <f>L$113*Tracks!Q$7/Tracks!P$7-(L$115*(Tracks!Q$7/Tracks!P$7-1))*L113/SUM(L$113,L$114)</f>
        <v>0.9881992736776667</v>
      </c>
      <c r="N113" s="303">
        <f>M$113*Tracks!R$7/Tracks!Q$7-(M$115*(Tracks!R$7/Tracks!Q$7-1))*M113/SUM(M$113,M$114)</f>
        <v>1.0929495649016179</v>
      </c>
      <c r="O113" s="303">
        <f>N$113*Tracks!S$7/Tracks!R$7-(N$115*(Tracks!S$7/Tracks!R$7-1))*N113/SUM(N$113,N$114)</f>
        <v>1.2044242437768466</v>
      </c>
      <c r="P113" s="303">
        <f>O$113*Tracks!T$7/Tracks!S$7-(O$115*(Tracks!T$7/Tracks!S$7-1))*O113/SUM(O$113,O$114)</f>
        <v>1.322649248184992</v>
      </c>
      <c r="Q113" s="303">
        <f>P$113*Tracks!U$7/Tracks!T$7-(P$115*(Tracks!U$7/Tracks!T$7-1))*P113/SUM(P$113,P$114)</f>
        <v>1.4474941512560306</v>
      </c>
      <c r="R113" s="303">
        <f>Q$113*Tracks!V$7/Tracks!U$7-(Q$115*(Tracks!V$7/Tracks!U$7-1))*Q113/SUM(Q$113,Q$114)</f>
        <v>1.5780707871966317</v>
      </c>
      <c r="S113" s="303">
        <f>R$113*Tracks!W$7/Tracks!V$7-(R$115*(Tracks!W$7/Tracks!V$7-1))*R113/SUM(R$113,R$114)</f>
        <v>1.7133134722279473</v>
      </c>
      <c r="T113" s="303">
        <f>S$113*Tracks!X$7/Tracks!W$7-(S$115*(Tracks!X$7/Tracks!W$7-1))*S113/SUM(S$113,S$114)</f>
        <v>1.8527540415644803</v>
      </c>
      <c r="V113" s="58"/>
      <c r="W113" s="58"/>
      <c r="X113" s="58"/>
      <c r="Y113" s="58"/>
    </row>
    <row r="114" spans="1:25" s="304" customFormat="1" ht="12.75">
      <c r="A114" s="391" t="s">
        <v>892</v>
      </c>
      <c r="B114" s="297"/>
      <c r="C114" s="247"/>
      <c r="D114" s="247">
        <f>Data!C$89</f>
        <v>1.313</v>
      </c>
      <c r="E114" s="247">
        <f>Data!D$89</f>
        <v>-0.995</v>
      </c>
      <c r="F114" s="392">
        <f>Data!E$89</f>
        <v>1.037</v>
      </c>
      <c r="G114" s="392">
        <f>Data!F$89</f>
        <v>1.321</v>
      </c>
      <c r="H114" s="392">
        <f>Data!G$89</f>
        <v>1.569</v>
      </c>
      <c r="I114" s="392">
        <f>Data!H$89</f>
        <v>1.836</v>
      </c>
      <c r="J114" s="392">
        <f>Data!I$89</f>
        <v>2.114</v>
      </c>
      <c r="K114" s="303">
        <f>J$114*Tracks!O$7/Tracks!N$7-(J$115*(Tracks!O$7/Tracks!N$7-1))*J114/SUM(J$113,J$114)</f>
        <v>2.3187829988629476</v>
      </c>
      <c r="L114" s="303">
        <f>K$114*Tracks!P$7/Tracks!O$7-(K$115*(Tracks!P$7/Tracks!O$7-1))*K114/SUM(K$113,K$114)</f>
        <v>2.5933786524970044</v>
      </c>
      <c r="M114" s="303">
        <f>L$114*Tracks!Q$7/Tracks!P$7-(L$115*(Tracks!Q$7/Tracks!P$7-1))*L114/SUM(L$113,L$114)</f>
        <v>2.8814527786959823</v>
      </c>
      <c r="N114" s="303">
        <f>M$114*Tracks!R$7/Tracks!Q$7-(M$115*(Tracks!R$7/Tracks!Q$7-1))*M114/SUM(M$113,M$114)</f>
        <v>3.186890179588993</v>
      </c>
      <c r="O114" s="303">
        <f>N$114*Tracks!S$7/Tracks!R$7-(N$115*(Tracks!S$7/Tracks!R$7-1))*N114/SUM(N$113,N$114)</f>
        <v>3.511934967371385</v>
      </c>
      <c r="P114" s="303">
        <f>O$114*Tracks!T$7/Tracks!S$7-(O$115*(Tracks!T$7/Tracks!S$7-1))*O114/SUM(O$113,O$114)</f>
        <v>3.8566627733283774</v>
      </c>
      <c r="Q114" s="303">
        <f>P$114*Tracks!U$7/Tracks!T$7-(P$115*(Tracks!U$7/Tracks!T$7-1))*P114/SUM(P$113,P$114)</f>
        <v>4.220693290696896</v>
      </c>
      <c r="R114" s="303">
        <f>Q$114*Tracks!V$7/Tracks!U$7-(Q$115*(Tracks!V$7/Tracks!U$7-1))*Q114/SUM(Q$113,Q$114)</f>
        <v>4.601436750529213</v>
      </c>
      <c r="S114" s="303">
        <f>R$114*Tracks!W$7/Tracks!V$7-(R$115*(Tracks!W$7/Tracks!V$7-1))*R114/SUM(R$113,R$114)</f>
        <v>4.995785765917075</v>
      </c>
      <c r="T114" s="303">
        <f>S$114*Tracks!X$7/Tracks!W$7-(S$115*(Tracks!X$7/Tracks!W$7-1))*S114/SUM(S$113,S$114)</f>
        <v>5.402375232920428</v>
      </c>
      <c r="V114" s="58"/>
      <c r="W114" s="58"/>
      <c r="X114" s="58"/>
      <c r="Y114" s="58"/>
    </row>
    <row r="115" spans="1:25" s="304" customFormat="1" ht="12.75">
      <c r="A115" s="391" t="s">
        <v>276</v>
      </c>
      <c r="B115" s="297"/>
      <c r="C115" s="247"/>
      <c r="D115" s="247">
        <f>Data!C88</f>
        <v>-0.052</v>
      </c>
      <c r="E115" s="247">
        <f>Data!D88</f>
        <v>0.017</v>
      </c>
      <c r="F115" s="392">
        <f>Data!E88</f>
        <v>0.15599999999999992</v>
      </c>
      <c r="G115" s="392">
        <f>Data!F88</f>
        <v>0.17</v>
      </c>
      <c r="H115" s="392">
        <f>Data!G88</f>
        <v>0.19599999999999995</v>
      </c>
      <c r="I115" s="392">
        <f>Data!H88</f>
        <v>0.22100000000000009</v>
      </c>
      <c r="J115" s="392">
        <f>Data!I88</f>
        <v>0.245</v>
      </c>
      <c r="K115" s="303">
        <f aca="true" t="shared" si="53" ref="K115:S115">J115</f>
        <v>0.245</v>
      </c>
      <c r="L115" s="303">
        <f t="shared" si="53"/>
        <v>0.245</v>
      </c>
      <c r="M115" s="303">
        <f t="shared" si="53"/>
        <v>0.245</v>
      </c>
      <c r="N115" s="303">
        <f t="shared" si="53"/>
        <v>0.245</v>
      </c>
      <c r="O115" s="303">
        <f t="shared" si="53"/>
        <v>0.245</v>
      </c>
      <c r="P115" s="303">
        <f t="shared" si="53"/>
        <v>0.245</v>
      </c>
      <c r="Q115" s="303">
        <f t="shared" si="53"/>
        <v>0.245</v>
      </c>
      <c r="R115" s="303">
        <f t="shared" si="53"/>
        <v>0.245</v>
      </c>
      <c r="S115" s="303">
        <f t="shared" si="53"/>
        <v>0.245</v>
      </c>
      <c r="T115" s="303">
        <f>S115</f>
        <v>0.245</v>
      </c>
      <c r="V115" s="58"/>
      <c r="W115" s="58"/>
      <c r="X115" s="58"/>
      <c r="Y115" s="58"/>
    </row>
    <row r="116" spans="1:25" s="304" customFormat="1" ht="12.75">
      <c r="A116" s="389" t="s">
        <v>147</v>
      </c>
      <c r="B116" s="297"/>
      <c r="C116" s="247"/>
      <c r="D116" s="247">
        <f>Data!C$90</f>
        <v>0.707</v>
      </c>
      <c r="E116" s="247">
        <f>Data!D$90</f>
        <v>0.237</v>
      </c>
      <c r="F116" s="224">
        <f>Data!E$90</f>
        <v>0.326</v>
      </c>
      <c r="G116" s="224">
        <f>Data!F$90</f>
        <v>0.419</v>
      </c>
      <c r="H116" s="224">
        <f>Data!G$90</f>
        <v>0.494</v>
      </c>
      <c r="I116" s="224">
        <f>Data!H$90</f>
        <v>0.574</v>
      </c>
      <c r="J116" s="224">
        <f>Data!I$90</f>
        <v>0.655</v>
      </c>
      <c r="K116" s="303">
        <f>Tracks!O$8</f>
        <v>0.6885632848180028</v>
      </c>
      <c r="L116" s="303">
        <f>Tracks!P$8</f>
        <v>0.7770677760952501</v>
      </c>
      <c r="M116" s="303">
        <f>Tracks!Q$8</f>
        <v>0.8699164925696756</v>
      </c>
      <c r="N116" s="303">
        <f>Tracks!R$8</f>
        <v>0.9683615386777464</v>
      </c>
      <c r="O116" s="303">
        <f>Tracks!S$8</f>
        <v>1.0731262106755755</v>
      </c>
      <c r="P116" s="303">
        <f>Tracks!T$8</f>
        <v>1.1842348851632085</v>
      </c>
      <c r="Q116" s="303">
        <f>Tracks!U$8</f>
        <v>1.3015649860687022</v>
      </c>
      <c r="R116" s="303">
        <f>Tracks!V$8</f>
        <v>1.4242818090542027</v>
      </c>
      <c r="S116" s="303">
        <f>Tracks!W$8</f>
        <v>1.5513838171548053</v>
      </c>
      <c r="T116" s="303">
        <f>Tracks!X$8</f>
        <v>1.6824310258763777</v>
      </c>
      <c r="V116" s="58"/>
      <c r="W116" s="58"/>
      <c r="X116" s="58"/>
      <c r="Y116" s="58"/>
    </row>
    <row r="117" spans="1:25" s="304" customFormat="1" ht="12.75">
      <c r="A117" s="382" t="s">
        <v>581</v>
      </c>
      <c r="B117" s="297"/>
      <c r="C117" s="247"/>
      <c r="D117" s="141">
        <f>SUM(D$111:D$114)-D115-D$116</f>
        <v>12.973</v>
      </c>
      <c r="E117" s="141">
        <f>SUM(E$111:E$114)-E115-E$116</f>
        <v>14.212000000000002</v>
      </c>
      <c r="F117" s="390">
        <f aca="true" t="shared" si="54" ref="F117:S117">SUM(F$111:F$114)-F115-F$116</f>
        <v>17.44</v>
      </c>
      <c r="G117" s="390">
        <f t="shared" si="54"/>
        <v>20.636</v>
      </c>
      <c r="H117" s="390">
        <f t="shared" si="54"/>
        <v>24.173</v>
      </c>
      <c r="I117" s="390">
        <f t="shared" si="54"/>
        <v>28.022999999999993</v>
      </c>
      <c r="J117" s="390">
        <f>SUM(J$111:J$114)-J115-J$116</f>
        <v>32.15599999999999</v>
      </c>
      <c r="K117" s="148">
        <f t="shared" si="54"/>
        <v>36.46441802093435</v>
      </c>
      <c r="L117" s="148">
        <f t="shared" si="54"/>
        <v>40.958045391346786</v>
      </c>
      <c r="M117" s="148">
        <f t="shared" si="54"/>
        <v>45.70122028977667</v>
      </c>
      <c r="N117" s="148">
        <f t="shared" si="54"/>
        <v>50.75378090233339</v>
      </c>
      <c r="O117" s="148">
        <f t="shared" si="54"/>
        <v>56.125282107360164</v>
      </c>
      <c r="P117" s="148">
        <f t="shared" si="54"/>
        <v>61.807729965404455</v>
      </c>
      <c r="Q117" s="148">
        <f t="shared" si="54"/>
        <v>67.79713697241084</v>
      </c>
      <c r="R117" s="148">
        <f t="shared" si="54"/>
        <v>74.0106957520639</v>
      </c>
      <c r="S117" s="148">
        <f t="shared" si="54"/>
        <v>80.43512107475637</v>
      </c>
      <c r="T117" s="148">
        <f>SUM(T$111:T$114)-T115-T$116</f>
        <v>87.0391011985589</v>
      </c>
      <c r="V117" s="58"/>
      <c r="W117" s="58"/>
      <c r="X117" s="58"/>
      <c r="Y117" s="58"/>
    </row>
    <row r="118" spans="1:25" s="304" customFormat="1" ht="12.75">
      <c r="A118" s="394" t="s">
        <v>146</v>
      </c>
      <c r="B118" s="299"/>
      <c r="C118" s="247"/>
      <c r="D118" s="141"/>
      <c r="E118" s="141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V118" s="58"/>
      <c r="W118" s="58"/>
      <c r="X118" s="58"/>
      <c r="Y118" s="58"/>
    </row>
    <row r="119" spans="1:25" s="304" customFormat="1" ht="12.75">
      <c r="A119" s="302" t="s">
        <v>733</v>
      </c>
      <c r="B119" s="297"/>
      <c r="C119" s="247"/>
      <c r="D119" s="247">
        <f>Data!C$149</f>
        <v>11.663</v>
      </c>
      <c r="E119" s="247">
        <f>Data!D$149</f>
        <v>13.382</v>
      </c>
      <c r="F119" s="392">
        <f>Data!E$149</f>
        <v>15.914</v>
      </c>
      <c r="G119" s="392">
        <f>Data!F$149</f>
        <v>18.851</v>
      </c>
      <c r="H119" s="392">
        <f>Data!G$149</f>
        <v>22.139</v>
      </c>
      <c r="I119" s="392">
        <f>Data!H$149</f>
        <v>25.779</v>
      </c>
      <c r="J119" s="392">
        <f>Data!I$149</f>
        <v>29.729</v>
      </c>
      <c r="K119" s="303">
        <f>J$119*K$117/J$117</f>
        <v>33.712236700595774</v>
      </c>
      <c r="L119" s="303">
        <f aca="true" t="shared" si="55" ref="L119:S119">K$119*L$117/K$117</f>
        <v>37.86670392584118</v>
      </c>
      <c r="M119" s="303">
        <f t="shared" si="55"/>
        <v>42.251883878429254</v>
      </c>
      <c r="N119" s="303">
        <f t="shared" si="55"/>
        <v>46.9230984091762</v>
      </c>
      <c r="O119" s="303">
        <f t="shared" si="55"/>
        <v>51.88918123428631</v>
      </c>
      <c r="P119" s="303">
        <f t="shared" si="55"/>
        <v>57.14274176332595</v>
      </c>
      <c r="Q119" s="303">
        <f t="shared" si="55"/>
        <v>62.68009345232001</v>
      </c>
      <c r="R119" s="303">
        <f t="shared" si="55"/>
        <v>68.42467887837753</v>
      </c>
      <c r="S119" s="303">
        <f t="shared" si="55"/>
        <v>74.36421552529644</v>
      </c>
      <c r="T119" s="303">
        <f>S$119*T$117/S$117</f>
        <v>80.4697549300895</v>
      </c>
      <c r="V119" s="58"/>
      <c r="W119" s="58"/>
      <c r="X119" s="58"/>
      <c r="Y119" s="58"/>
    </row>
    <row r="120" spans="1:25" s="304" customFormat="1" ht="12.75">
      <c r="A120" s="302" t="s">
        <v>477</v>
      </c>
      <c r="B120" s="297"/>
      <c r="C120" s="247"/>
      <c r="D120" s="247">
        <f>Data!C$156+Data!C$94*0</f>
        <v>12.523388</v>
      </c>
      <c r="E120" s="247">
        <f>Data!D$156+Data!D$94*0</f>
        <v>13.610709</v>
      </c>
      <c r="F120" s="392">
        <f>Data!E$156+Data!E$94*0</f>
        <v>16.317892</v>
      </c>
      <c r="G120" s="392">
        <f>Data!F$156+Data!F$94*0</f>
        <v>19.364324000000003</v>
      </c>
      <c r="H120" s="392">
        <f>Data!G$156+Data!G$94*0</f>
        <v>22.767123</v>
      </c>
      <c r="I120" s="392">
        <f>Data!H$156+Data!H$94*0</f>
        <v>26.547108</v>
      </c>
      <c r="J120" s="392">
        <f>Data!I$156+Data!I$94*0</f>
        <v>30.645744</v>
      </c>
      <c r="K120" s="303">
        <f>J$120*K$117/J$117</f>
        <v>34.751810541688684</v>
      </c>
      <c r="L120" s="303">
        <f aca="true" t="shared" si="56" ref="L120:S120">K$120*L$117/K$117</f>
        <v>39.034387790881766</v>
      </c>
      <c r="M120" s="303">
        <f t="shared" si="56"/>
        <v>43.55479218460326</v>
      </c>
      <c r="N120" s="303">
        <f t="shared" si="56"/>
        <v>48.370051516513215</v>
      </c>
      <c r="O120" s="303">
        <f t="shared" si="56"/>
        <v>53.489271905396855</v>
      </c>
      <c r="P120" s="303">
        <f t="shared" si="56"/>
        <v>58.90483485946371</v>
      </c>
      <c r="Q120" s="303">
        <f t="shared" si="56"/>
        <v>64.61294015391961</v>
      </c>
      <c r="R120" s="303">
        <f t="shared" si="56"/>
        <v>70.53466958824602</v>
      </c>
      <c r="S120" s="303">
        <f t="shared" si="56"/>
        <v>76.65736189407855</v>
      </c>
      <c r="T120" s="303">
        <f>S$120*T$117/S$117</f>
        <v>82.95117593360898</v>
      </c>
      <c r="V120" s="58"/>
      <c r="W120" s="58"/>
      <c r="X120" s="58"/>
      <c r="Y120" s="58"/>
    </row>
    <row r="121" spans="1:25" s="304" customFormat="1" ht="12.75">
      <c r="A121" s="302" t="s">
        <v>732</v>
      </c>
      <c r="B121" s="297"/>
      <c r="C121" s="247"/>
      <c r="D121" s="247">
        <f>Data!C$191</f>
        <v>0.017119000000000002</v>
      </c>
      <c r="E121" s="247">
        <f>Data!D$191</f>
        <v>0.037565</v>
      </c>
      <c r="F121" s="392">
        <f>Data!E$191</f>
        <v>0.035134</v>
      </c>
      <c r="G121" s="392">
        <f>Data!F$191</f>
        <v>0.039605</v>
      </c>
      <c r="H121" s="392">
        <f>Data!G$191</f>
        <v>0.044326</v>
      </c>
      <c r="I121" s="392">
        <f>Data!H$191</f>
        <v>0.049954</v>
      </c>
      <c r="J121" s="392">
        <f>Data!I$191</f>
        <v>0.057852</v>
      </c>
      <c r="K121" s="303">
        <f aca="true" t="shared" si="57" ref="K121:S121">J$121*K$113/J$113</f>
        <v>0.06345611828297978</v>
      </c>
      <c r="L121" s="303">
        <f t="shared" si="57"/>
        <v>0.07097073879103913</v>
      </c>
      <c r="M121" s="303">
        <f t="shared" si="57"/>
        <v>0.07885421293903501</v>
      </c>
      <c r="N121" s="303">
        <f t="shared" si="57"/>
        <v>0.08721285272922538</v>
      </c>
      <c r="O121" s="303">
        <f t="shared" si="57"/>
        <v>0.09610807082893535</v>
      </c>
      <c r="P121" s="303">
        <f t="shared" si="57"/>
        <v>0.10554193697379058</v>
      </c>
      <c r="Q121" s="303">
        <f t="shared" si="57"/>
        <v>0.11550404363926055</v>
      </c>
      <c r="R121" s="303">
        <f t="shared" si="57"/>
        <v>0.12592351887020628</v>
      </c>
      <c r="S121" s="303">
        <f t="shared" si="57"/>
        <v>0.13671532551080168</v>
      </c>
      <c r="T121" s="303">
        <f>S$121*T$113/S$113</f>
        <v>0.1478421059483977</v>
      </c>
      <c r="V121" s="58"/>
      <c r="W121" s="58"/>
      <c r="X121" s="58"/>
      <c r="Y121" s="58"/>
    </row>
    <row r="122" spans="1:25" s="304" customFormat="1" ht="12.75">
      <c r="A122" s="302" t="s">
        <v>701</v>
      </c>
      <c r="B122" s="297"/>
      <c r="C122" s="247"/>
      <c r="D122" s="247">
        <f>Data!C190</f>
        <v>0.119</v>
      </c>
      <c r="E122" s="247">
        <f>Data!D190</f>
        <v>0.097</v>
      </c>
      <c r="F122" s="392">
        <f>Data!E190</f>
        <v>0.138</v>
      </c>
      <c r="G122" s="392">
        <f>Data!F190</f>
        <v>0.149</v>
      </c>
      <c r="H122" s="392">
        <f>Data!G190</f>
        <v>0.173</v>
      </c>
      <c r="I122" s="392">
        <f>Data!H190</f>
        <v>0.198</v>
      </c>
      <c r="J122" s="392">
        <f>Data!I190</f>
        <v>0.22</v>
      </c>
      <c r="K122" s="303">
        <f aca="true" t="shared" si="58" ref="K122:T122">J122</f>
        <v>0.22</v>
      </c>
      <c r="L122" s="303">
        <f t="shared" si="58"/>
        <v>0.22</v>
      </c>
      <c r="M122" s="303">
        <f t="shared" si="58"/>
        <v>0.22</v>
      </c>
      <c r="N122" s="303">
        <f t="shared" si="58"/>
        <v>0.22</v>
      </c>
      <c r="O122" s="303">
        <f t="shared" si="58"/>
        <v>0.22</v>
      </c>
      <c r="P122" s="303">
        <f t="shared" si="58"/>
        <v>0.22</v>
      </c>
      <c r="Q122" s="303">
        <f t="shared" si="58"/>
        <v>0.22</v>
      </c>
      <c r="R122" s="303">
        <f t="shared" si="58"/>
        <v>0.22</v>
      </c>
      <c r="S122" s="303">
        <f t="shared" si="58"/>
        <v>0.22</v>
      </c>
      <c r="T122" s="303">
        <f t="shared" si="58"/>
        <v>0.22</v>
      </c>
      <c r="V122" s="58"/>
      <c r="W122" s="58"/>
      <c r="X122" s="58"/>
      <c r="Y122" s="58"/>
    </row>
    <row r="123" spans="1:25" s="304" customFormat="1" ht="12.75">
      <c r="A123" s="423"/>
      <c r="B123" s="299"/>
      <c r="C123" s="247"/>
      <c r="D123" s="424"/>
      <c r="E123" s="42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V123" s="58"/>
      <c r="W123" s="58"/>
      <c r="X123" s="58"/>
      <c r="Y123" s="58"/>
    </row>
    <row r="124" spans="1:25" s="304" customFormat="1" ht="12.75">
      <c r="A124" s="394" t="s">
        <v>808</v>
      </c>
      <c r="C124" s="247"/>
      <c r="D124" s="247"/>
      <c r="E124" s="24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V124" s="58"/>
      <c r="W124" s="58"/>
      <c r="X124" s="58"/>
      <c r="Y124" s="58"/>
    </row>
    <row r="125" spans="1:25" s="304" customFormat="1" ht="12.75">
      <c r="A125" s="302" t="s">
        <v>820</v>
      </c>
      <c r="B125" s="297"/>
      <c r="C125" s="247"/>
      <c r="D125" s="247">
        <f>Data!C$79</f>
        <v>17.418</v>
      </c>
      <c r="E125" s="247">
        <f>Data!D$79</f>
        <v>20.484</v>
      </c>
      <c r="F125" s="392">
        <f>Data!E$79</f>
        <v>21.982</v>
      </c>
      <c r="G125" s="392">
        <f>Data!F$79</f>
        <v>23.425</v>
      </c>
      <c r="H125" s="392">
        <f>Data!G$79</f>
        <v>24.902</v>
      </c>
      <c r="I125" s="392">
        <f>Data!H$79</f>
        <v>26.453</v>
      </c>
      <c r="J125" s="392">
        <f>Data!I$79</f>
        <v>28.073</v>
      </c>
      <c r="K125" s="303">
        <f aca="true" t="shared" si="59" ref="K125:T125">J$125*IF(K$1="Proj Yr1",AVERAGE(H$125/G$125,I$125/H$125,J$125/I$125),J$125/I$125)</f>
        <v>29.818926678848303</v>
      </c>
      <c r="L125" s="303">
        <f t="shared" si="59"/>
        <v>31.673436692855454</v>
      </c>
      <c r="M125" s="303">
        <f t="shared" si="59"/>
        <v>33.64328309804439</v>
      </c>
      <c r="N125" s="303">
        <f t="shared" si="59"/>
        <v>35.735638939063236</v>
      </c>
      <c r="O125" s="303">
        <f t="shared" si="59"/>
        <v>37.95812336927735</v>
      </c>
      <c r="P125" s="303">
        <f t="shared" si="59"/>
        <v>40.31882939533216</v>
      </c>
      <c r="Q125" s="303">
        <f t="shared" si="59"/>
        <v>42.826353347216305</v>
      </c>
      <c r="R125" s="303">
        <f t="shared" si="59"/>
        <v>45.4898261811382</v>
      </c>
      <c r="S125" s="303">
        <f t="shared" si="59"/>
        <v>48.318946729202935</v>
      </c>
      <c r="T125" s="303">
        <f t="shared" si="59"/>
        <v>51.32401701696575</v>
      </c>
      <c r="V125" s="58"/>
      <c r="W125" s="58"/>
      <c r="X125" s="58"/>
      <c r="Y125" s="58"/>
    </row>
    <row r="126" spans="1:25" s="304" customFormat="1" ht="12.75">
      <c r="A126" s="302" t="s">
        <v>745</v>
      </c>
      <c r="B126" s="297"/>
      <c r="C126" s="247"/>
      <c r="D126" s="247">
        <f>Data!C$157</f>
        <v>11.264213</v>
      </c>
      <c r="E126" s="247">
        <f>Data!D$157</f>
        <v>12.496216</v>
      </c>
      <c r="F126" s="392">
        <f>Data!E$157</f>
        <v>13.154606000000001</v>
      </c>
      <c r="G126" s="392">
        <f>Data!F$157</f>
        <v>14.057955999999999</v>
      </c>
      <c r="H126" s="392">
        <f>Data!G$157</f>
        <v>14.933968</v>
      </c>
      <c r="I126" s="392">
        <f>Data!H$157</f>
        <v>15.616845999999999</v>
      </c>
      <c r="J126" s="392">
        <f>Data!I$157</f>
        <v>16.055515</v>
      </c>
      <c r="K126" s="303">
        <f aca="true" t="shared" si="60" ref="K126:T126">K$125*IF(K$1="Proj Yr1",AVERAGE(H$126/H$125,I$126/I$125,J$126/J$125),J$126/J$125)</f>
        <v>17.513567645356524</v>
      </c>
      <c r="L126" s="303">
        <f t="shared" si="60"/>
        <v>18.60277809646052</v>
      </c>
      <c r="M126" s="303">
        <f t="shared" si="60"/>
        <v>19.75972913764975</v>
      </c>
      <c r="N126" s="303">
        <f t="shared" si="60"/>
        <v>20.98863371743242</v>
      </c>
      <c r="O126" s="303">
        <f t="shared" si="60"/>
        <v>22.29396679761054</v>
      </c>
      <c r="P126" s="303">
        <f t="shared" si="60"/>
        <v>23.680481648510217</v>
      </c>
      <c r="Q126" s="303">
        <f t="shared" si="60"/>
        <v>25.153227157651084</v>
      </c>
      <c r="R126" s="303">
        <f t="shared" si="60"/>
        <v>26.717566214883114</v>
      </c>
      <c r="S126" s="303">
        <f t="shared" si="60"/>
        <v>28.379195240938774</v>
      </c>
      <c r="T126" s="303">
        <f t="shared" si="60"/>
        <v>30.14416493051238</v>
      </c>
      <c r="V126" s="58"/>
      <c r="W126" s="58"/>
      <c r="X126" s="58"/>
      <c r="Y126" s="58"/>
    </row>
    <row r="127" spans="1:25" s="304" customFormat="1" ht="12.75">
      <c r="A127" s="302" t="s">
        <v>747</v>
      </c>
      <c r="B127" s="297"/>
      <c r="C127" s="247"/>
      <c r="D127" s="247">
        <f>Data!C$151</f>
        <v>9.0113704</v>
      </c>
      <c r="E127" s="247">
        <f>Data!D$151</f>
        <v>10.017</v>
      </c>
      <c r="F127" s="392">
        <f>Data!E$151</f>
        <v>10.017</v>
      </c>
      <c r="G127" s="392">
        <f>Data!F$151</f>
        <v>10.966999999999999</v>
      </c>
      <c r="H127" s="392">
        <f>Data!G$151</f>
        <v>11.953</v>
      </c>
      <c r="I127" s="392">
        <f>Data!H$151</f>
        <v>12.942</v>
      </c>
      <c r="J127" s="392">
        <f>Data!I$151</f>
        <v>13.838000000000001</v>
      </c>
      <c r="K127" s="303">
        <f aca="true" t="shared" si="61" ref="K127:T127">K$126*IF(K$1="Proj Yr1",AVERAGE(H$127/H$126,I$127/I$126,J$127/J$126),J$127/J$126)</f>
        <v>14.542070357123306</v>
      </c>
      <c r="L127" s="303">
        <f t="shared" si="61"/>
        <v>15.44647632022631</v>
      </c>
      <c r="M127" s="303">
        <f t="shared" si="61"/>
        <v>16.40712944250329</v>
      </c>
      <c r="N127" s="303">
        <f t="shared" si="61"/>
        <v>17.427527868641715</v>
      </c>
      <c r="O127" s="303">
        <f t="shared" si="61"/>
        <v>18.51138730127214</v>
      </c>
      <c r="P127" s="303">
        <f t="shared" si="61"/>
        <v>19.66265453141444</v>
      </c>
      <c r="Q127" s="303">
        <f t="shared" si="61"/>
        <v>20.885521810414687</v>
      </c>
      <c r="R127" s="303">
        <f t="shared" si="61"/>
        <v>22.184442115707004</v>
      </c>
      <c r="S127" s="303">
        <f t="shared" si="61"/>
        <v>23.56414536598944</v>
      </c>
      <c r="T127" s="303">
        <f t="shared" si="61"/>
        <v>25.029655644860263</v>
      </c>
      <c r="V127" s="58"/>
      <c r="W127" s="58"/>
      <c r="X127" s="58"/>
      <c r="Y127" s="58"/>
    </row>
    <row r="128" spans="1:25" s="304" customFormat="1" ht="12.75">
      <c r="A128" s="302" t="s">
        <v>128</v>
      </c>
      <c r="B128" s="297"/>
      <c r="C128" s="247"/>
      <c r="D128" s="247">
        <f>Data!C$192</f>
        <v>0.37689700000000004</v>
      </c>
      <c r="E128" s="247">
        <f>Data!D$192</f>
        <v>0.528622</v>
      </c>
      <c r="F128" s="392">
        <f>Data!E$192</f>
        <v>0.567037</v>
      </c>
      <c r="G128" s="392">
        <f>Data!F$192</f>
        <v>0.609506</v>
      </c>
      <c r="H128" s="392">
        <f>Data!G$192</f>
        <v>0.651503</v>
      </c>
      <c r="I128" s="392">
        <f>Data!H$192</f>
        <v>0.684283</v>
      </c>
      <c r="J128" s="392">
        <f>Data!I$192</f>
        <v>0.703406</v>
      </c>
      <c r="K128" s="303">
        <f aca="true" t="shared" si="62" ref="K128:S128">J$128*K$127/J$127</f>
        <v>0.7391949372469053</v>
      </c>
      <c r="L128" s="303">
        <f t="shared" si="62"/>
        <v>0.785167229549437</v>
      </c>
      <c r="M128" s="303">
        <f t="shared" si="62"/>
        <v>0.833998648116308</v>
      </c>
      <c r="N128" s="303">
        <f t="shared" si="62"/>
        <v>0.8858670088141202</v>
      </c>
      <c r="O128" s="303">
        <f t="shared" si="62"/>
        <v>0.9409611863013898</v>
      </c>
      <c r="P128" s="303">
        <f t="shared" si="62"/>
        <v>0.999481801801135</v>
      </c>
      <c r="Q128" s="303">
        <f t="shared" si="62"/>
        <v>1.0616419536476769</v>
      </c>
      <c r="R128" s="303">
        <f t="shared" si="62"/>
        <v>1.1276679932678855</v>
      </c>
      <c r="S128" s="303">
        <f t="shared" si="62"/>
        <v>1.1978003494225442</v>
      </c>
      <c r="T128" s="303">
        <f>S$128*T$127/S$127</f>
        <v>1.2722944037092483</v>
      </c>
      <c r="V128" s="58"/>
      <c r="W128" s="58"/>
      <c r="X128" s="58"/>
      <c r="Y128" s="58"/>
    </row>
    <row r="129" spans="1:25" s="304" customFormat="1" ht="12.75">
      <c r="A129" s="302" t="s">
        <v>491</v>
      </c>
      <c r="B129" s="297"/>
      <c r="C129" s="247"/>
      <c r="D129" s="247">
        <f>Data!C$193</f>
        <v>0.002378</v>
      </c>
      <c r="E129" s="247">
        <f>Data!D$193</f>
        <v>0.112836</v>
      </c>
      <c r="F129" s="392">
        <f>Data!E$193</f>
        <v>0.12086000000000001</v>
      </c>
      <c r="G129" s="392">
        <f>Data!F$193</f>
        <v>0.129731</v>
      </c>
      <c r="H129" s="392">
        <f>Data!G$193</f>
        <v>0.13850300000000001</v>
      </c>
      <c r="I129" s="392">
        <f>Data!H$193</f>
        <v>0.14535</v>
      </c>
      <c r="J129" s="392">
        <f>Data!I$193</f>
        <v>0.149344</v>
      </c>
      <c r="K129" s="303">
        <f aca="true" t="shared" si="63" ref="K129:S129">J$129*K$128/J$128</f>
        <v>0.15694254627939175</v>
      </c>
      <c r="L129" s="303">
        <f t="shared" si="63"/>
        <v>0.16670317672842017</v>
      </c>
      <c r="M129" s="303">
        <f t="shared" si="63"/>
        <v>0.17707084401367335</v>
      </c>
      <c r="N129" s="303">
        <f t="shared" si="63"/>
        <v>0.18808330120063801</v>
      </c>
      <c r="O129" s="303">
        <f t="shared" si="63"/>
        <v>0.19978064930778922</v>
      </c>
      <c r="P129" s="303">
        <f t="shared" si="63"/>
        <v>0.21220548333137437</v>
      </c>
      <c r="Q129" s="303">
        <f t="shared" si="63"/>
        <v>0.22540304735182623</v>
      </c>
      <c r="R129" s="303">
        <f t="shared" si="63"/>
        <v>0.23942139928661274</v>
      </c>
      <c r="S129" s="303">
        <f t="shared" si="63"/>
        <v>0.25431158588945857</v>
      </c>
      <c r="T129" s="303">
        <f>S$129*T$128/S$128</f>
        <v>0.27012782863318485</v>
      </c>
      <c r="V129" s="58"/>
      <c r="W129" s="58"/>
      <c r="X129" s="58"/>
      <c r="Y129" s="58"/>
    </row>
    <row r="130" spans="1:25" s="304" customFormat="1" ht="12.75">
      <c r="A130" s="302" t="s">
        <v>931</v>
      </c>
      <c r="B130" s="297"/>
      <c r="C130" s="247"/>
      <c r="D130" s="247">
        <f>Data!C$194-(D$125-C$125)-D$131</f>
        <v>-16.329058</v>
      </c>
      <c r="E130" s="247">
        <f>Data!D$194-(E$125-D$125)-E$131</f>
        <v>-1.5929400000000022</v>
      </c>
      <c r="F130" s="392">
        <f>Data!E$194-(F$125-E$125)-F$131</f>
        <v>-0.4801009999999968</v>
      </c>
      <c r="G130" s="392">
        <f>Data!F$194-(G$125-F$125)-G$131</f>
        <v>-0.3581550000000009</v>
      </c>
      <c r="H130" s="392">
        <f>Data!G$194-(H$125-G$125)-H$131</f>
        <v>-0.32553700000000063</v>
      </c>
      <c r="I130" s="392">
        <f>Data!H$194-(I$125-H$125)-I$131</f>
        <v>-0.33113299999999857</v>
      </c>
      <c r="J130" s="392">
        <f>Data!I$194-(J$125-I$125)-J$131</f>
        <v>-0.3421730000000007</v>
      </c>
      <c r="K130" s="303">
        <f aca="true" t="shared" si="64" ref="K130:T130">SUM(J$130,J$125-I$125,J$131)*(1+K$212)-SUM(K$125-J$125,K$131)</f>
        <v>-0.4066757719048004</v>
      </c>
      <c r="L130" s="303">
        <f t="shared" si="64"/>
        <v>-0.46123096551111153</v>
      </c>
      <c r="M130" s="303">
        <f t="shared" si="64"/>
        <v>-0.4908522421372412</v>
      </c>
      <c r="N130" s="303">
        <f t="shared" si="64"/>
        <v>-0.4944046578527006</v>
      </c>
      <c r="O130" s="303">
        <f t="shared" si="64"/>
        <v>-0.5034646933286542</v>
      </c>
      <c r="P130" s="303">
        <f t="shared" si="64"/>
        <v>-0.5243004748879745</v>
      </c>
      <c r="Q130" s="303">
        <f t="shared" si="64"/>
        <v>-0.5602734617832077</v>
      </c>
      <c r="R130" s="303">
        <f t="shared" si="64"/>
        <v>-0.6052856982870107</v>
      </c>
      <c r="S130" s="303">
        <f t="shared" si="64"/>
        <v>-0.6622625398297046</v>
      </c>
      <c r="T130" s="303">
        <f t="shared" si="64"/>
        <v>-0.7517057741226179</v>
      </c>
      <c r="V130" s="58"/>
      <c r="W130" s="58"/>
      <c r="X130" s="58"/>
      <c r="Y130" s="58"/>
    </row>
    <row r="131" spans="1:25" s="304" customFormat="1" ht="12.75">
      <c r="A131" s="302" t="s">
        <v>683</v>
      </c>
      <c r="B131" s="297"/>
      <c r="C131" s="247"/>
      <c r="D131" s="247">
        <f>Data!C$142</f>
        <v>3.143</v>
      </c>
      <c r="E131" s="247">
        <f>Data!D$142</f>
        <v>3.423</v>
      </c>
      <c r="F131" s="392">
        <f>Data!E$142</f>
        <v>4.02</v>
      </c>
      <c r="G131" s="392">
        <f>Data!F$142</f>
        <v>4.153</v>
      </c>
      <c r="H131" s="392">
        <f>Data!G$142</f>
        <v>4.436</v>
      </c>
      <c r="I131" s="392">
        <f>Data!H$142</f>
        <v>4.751</v>
      </c>
      <c r="J131" s="392">
        <f>Data!I$142</f>
        <v>5.074</v>
      </c>
      <c r="K131" s="303">
        <f aca="true" t="shared" si="65" ref="K131:T131">J$131*(1+K$215)*(1+K$230)*K$132/J$132</f>
        <v>5.28572654142084</v>
      </c>
      <c r="L131" s="303">
        <f t="shared" si="65"/>
        <v>5.494981988775677</v>
      </c>
      <c r="M131" s="303">
        <f t="shared" si="65"/>
        <v>5.707954801173499</v>
      </c>
      <c r="N131" s="303">
        <f t="shared" si="65"/>
        <v>5.928262638686472</v>
      </c>
      <c r="O131" s="303">
        <f t="shared" si="65"/>
        <v>6.153684285557314</v>
      </c>
      <c r="P131" s="303">
        <f t="shared" si="65"/>
        <v>6.390176267933816</v>
      </c>
      <c r="Q131" s="303">
        <f t="shared" si="65"/>
        <v>6.641429988098129</v>
      </c>
      <c r="R131" s="303">
        <f t="shared" si="65"/>
        <v>6.90072768402209</v>
      </c>
      <c r="S131" s="303">
        <f t="shared" si="65"/>
        <v>7.174450126379094</v>
      </c>
      <c r="T131" s="303">
        <f t="shared" si="65"/>
        <v>7.47158418252742</v>
      </c>
      <c r="V131" s="58"/>
      <c r="W131" s="58"/>
      <c r="X131" s="58"/>
      <c r="Y131" s="58"/>
    </row>
    <row r="132" spans="1:25" s="304" customFormat="1" ht="12.75">
      <c r="A132" s="394" t="s">
        <v>809</v>
      </c>
      <c r="B132" s="297"/>
      <c r="C132" s="247"/>
      <c r="D132" s="99">
        <f>SUM(SUM(Popn!D$9:D$13)*Tracks!$C$36,SUM(Popn!D$103:D$107)*Tracks!$B$36,SUM(Popn!D$14:D$18)*Tracks!$C$37,SUM(Popn!D$108:D$112)*Tracks!$B$37,SUM(Popn!D$19:D$23)*Tracks!$C$38,SUM(Popn!D$113:D$117)*Tracks!$B$38,SUM(Popn!D$24:D$28)*Tracks!$C$39,SUM(Popn!D$118:D$122)*Tracks!$B$39,SUM(Popn!D$29:D$38)*Tracks!$C$40,SUM(Popn!D$123:D$132)*Tracks!$B$40,SUM(Popn!D$39:D$48)*Tracks!$C$41,SUM(Popn!D$133:D$142)*Tracks!$B$41,SUM(Popn!D$49:D$58)*Tracks!$C$42,SUM(Popn!D$143:D$152)*Tracks!$B$42,SUM(Popn!D$59:D$68)*Tracks!$C$43,SUM(Popn!D$153:D$162)*Tracks!$B$43,SUM(Popn!D$69:D$73)*Tracks!$C$44,SUM(Popn!D$163:D$167)*Tracks!$B$44,SUM(Popn!D$74:D$99)*Tracks!$C$45,SUM(Popn!D$168:D$193)*Tracks!$B$45)/1000000000</f>
        <v>5.5419</v>
      </c>
      <c r="E132" s="99">
        <f>SUM(SUM(Popn!E$9:E$13)*Tracks!$C$36,SUM(Popn!E$103:E$107)*Tracks!$B$36,SUM(Popn!E$14:E$18)*Tracks!$C$37,SUM(Popn!E$108:E$112)*Tracks!$B$37,SUM(Popn!E$19:E$23)*Tracks!$C$38,SUM(Popn!E$113:E$117)*Tracks!$B$38,SUM(Popn!E$24:E$28)*Tracks!$C$39,SUM(Popn!E$118:E$122)*Tracks!$B$39,SUM(Popn!E$29:E$38)*Tracks!$C$40,SUM(Popn!E$123:E$132)*Tracks!$B$40,SUM(Popn!E$39:E$48)*Tracks!$C$41,SUM(Popn!E$133:E$142)*Tracks!$B$41,SUM(Popn!E$49:E$58)*Tracks!$C$42,SUM(Popn!E$143:E$152)*Tracks!$B$42,SUM(Popn!E$59:E$68)*Tracks!$C$43,SUM(Popn!E$153:E$162)*Tracks!$B$43,SUM(Popn!E$69:E$73)*Tracks!$C$44,SUM(Popn!E$163:E$167)*Tracks!$B$44,SUM(Popn!E$74:E$99)*Tracks!$C$45,SUM(Popn!E$168:E$193)*Tracks!$B$45)/1000000000</f>
        <v>5.60069274</v>
      </c>
      <c r="F132" s="146">
        <f>SUM(SUM(Popn!F$9:F$13)*Tracks!$C$36,SUM(Popn!F$103:F$107)*Tracks!$B$36,SUM(Popn!F$14:F$18)*Tracks!$C$37,SUM(Popn!F$108:F$112)*Tracks!$B$37,SUM(Popn!F$19:F$23)*Tracks!$C$38,SUM(Popn!F$113:F$117)*Tracks!$B$38,SUM(Popn!F$24:F$28)*Tracks!$C$39,SUM(Popn!F$118:F$122)*Tracks!$B$39,SUM(Popn!F$29:F$38)*Tracks!$C$40,SUM(Popn!F$123:F$132)*Tracks!$B$40,SUM(Popn!F$39:F$48)*Tracks!$C$41,SUM(Popn!F$133:F$142)*Tracks!$B$41,SUM(Popn!F$49:F$58)*Tracks!$C$42,SUM(Popn!F$143:F$152)*Tracks!$B$42,SUM(Popn!F$59:F$68)*Tracks!$C$43,SUM(Popn!F$153:F$162)*Tracks!$B$43,SUM(Popn!F$69:F$73)*Tracks!$C$44,SUM(Popn!F$163:F$167)*Tracks!$B$44,SUM(Popn!F$74:F$99)*Tracks!$C$45,SUM(Popn!F$168:F$193)*Tracks!$B$45)/1000000000</f>
        <v>5.65414827</v>
      </c>
      <c r="G132" s="146">
        <f>SUM(SUM(Popn!G$9:G$13)*Tracks!$C$36,SUM(Popn!G$103:G$107)*Tracks!$B$36,SUM(Popn!G$14:G$18)*Tracks!$C$37,SUM(Popn!G$108:G$112)*Tracks!$B$37,SUM(Popn!G$19:G$23)*Tracks!$C$38,SUM(Popn!G$113:G$117)*Tracks!$B$38,SUM(Popn!G$24:G$28)*Tracks!$C$39,SUM(Popn!G$118:G$122)*Tracks!$B$39,SUM(Popn!G$29:G$38)*Tracks!$C$40,SUM(Popn!G$123:G$132)*Tracks!$B$40,SUM(Popn!G$39:G$48)*Tracks!$C$41,SUM(Popn!G$133:G$142)*Tracks!$B$41,SUM(Popn!G$49:G$58)*Tracks!$C$42,SUM(Popn!G$143:G$152)*Tracks!$B$42,SUM(Popn!G$59:G$68)*Tracks!$C$43,SUM(Popn!G$153:G$162)*Tracks!$B$43,SUM(Popn!G$69:G$73)*Tracks!$C$44,SUM(Popn!G$163:G$167)*Tracks!$B$44,SUM(Popn!G$74:G$99)*Tracks!$C$45,SUM(Popn!G$168:G$193)*Tracks!$B$45)/1000000000</f>
        <v>5.70477519</v>
      </c>
      <c r="H132" s="146">
        <f>SUM(SUM(Popn!H$9:H$13)*Tracks!$C$36,SUM(Popn!H$103:H$107)*Tracks!$B$36,SUM(Popn!H$14:H$18)*Tracks!$C$37,SUM(Popn!H$108:H$112)*Tracks!$B$37,SUM(Popn!H$19:H$23)*Tracks!$C$38,SUM(Popn!H$113:H$117)*Tracks!$B$38,SUM(Popn!H$24:H$28)*Tracks!$C$39,SUM(Popn!H$118:H$122)*Tracks!$B$39,SUM(Popn!H$29:H$38)*Tracks!$C$40,SUM(Popn!H$123:H$132)*Tracks!$B$40,SUM(Popn!H$39:H$48)*Tracks!$C$41,SUM(Popn!H$133:H$142)*Tracks!$B$41,SUM(Popn!H$49:H$58)*Tracks!$C$42,SUM(Popn!H$143:H$152)*Tracks!$B$42,SUM(Popn!H$59:H$68)*Tracks!$C$43,SUM(Popn!H$153:H$162)*Tracks!$B$43,SUM(Popn!H$69:H$73)*Tracks!$C$44,SUM(Popn!H$163:H$167)*Tracks!$B$44,SUM(Popn!H$74:H$99)*Tracks!$C$45,SUM(Popn!H$168:H$193)*Tracks!$B$45)/1000000000</f>
        <v>5.7528076</v>
      </c>
      <c r="I132" s="146">
        <f>SUM(SUM(Popn!I$9:I$13)*Tracks!$C$36,SUM(Popn!I$103:I$107)*Tracks!$B$36,SUM(Popn!I$14:I$18)*Tracks!$C$37,SUM(Popn!I$108:I$112)*Tracks!$B$37,SUM(Popn!I$19:I$23)*Tracks!$C$38,SUM(Popn!I$113:I$117)*Tracks!$B$38,SUM(Popn!I$24:I$28)*Tracks!$C$39,SUM(Popn!I$118:I$122)*Tracks!$B$39,SUM(Popn!I$29:I$38)*Tracks!$C$40,SUM(Popn!I$123:I$132)*Tracks!$B$40,SUM(Popn!I$39:I$48)*Tracks!$C$41,SUM(Popn!I$133:I$142)*Tracks!$B$41,SUM(Popn!I$49:I$58)*Tracks!$C$42,SUM(Popn!I$143:I$152)*Tracks!$B$42,SUM(Popn!I$59:I$68)*Tracks!$C$43,SUM(Popn!I$153:I$162)*Tracks!$B$43,SUM(Popn!I$69:I$73)*Tracks!$C$44,SUM(Popn!I$163:I$167)*Tracks!$B$44,SUM(Popn!I$74:I$99)*Tracks!$C$45,SUM(Popn!I$168:I$193)*Tracks!$B$45)/1000000000</f>
        <v>5.78683797</v>
      </c>
      <c r="J132" s="146">
        <f>SUM(SUM(Popn!J$9:J$13)*Tracks!$C$36,SUM(Popn!J$103:J$107)*Tracks!$B$36,SUM(Popn!J$14:J$18)*Tracks!$C$37,SUM(Popn!J$108:J$112)*Tracks!$B$37,SUM(Popn!J$19:J$23)*Tracks!$C$38,SUM(Popn!J$113:J$117)*Tracks!$B$38,SUM(Popn!J$24:J$28)*Tracks!$C$39,SUM(Popn!J$118:J$122)*Tracks!$B$39,SUM(Popn!J$29:J$38)*Tracks!$C$40,SUM(Popn!J$123:J$132)*Tracks!$B$40,SUM(Popn!J$39:J$48)*Tracks!$C$41,SUM(Popn!J$133:J$142)*Tracks!$B$41,SUM(Popn!J$49:J$58)*Tracks!$C$42,SUM(Popn!J$143:J$152)*Tracks!$B$42,SUM(Popn!J$59:J$68)*Tracks!$C$43,SUM(Popn!J$153:J$162)*Tracks!$B$43,SUM(Popn!J$69:J$73)*Tracks!$C$44,SUM(Popn!J$163:J$167)*Tracks!$B$44,SUM(Popn!J$74:J$99)*Tracks!$C$45,SUM(Popn!J$168:J$193)*Tracks!$B$45)/1000000000</f>
        <v>5.81356073</v>
      </c>
      <c r="K132" s="104">
        <f>SUM(SUM(Popn!K$9:K$13)*Tracks!$C$36,SUM(Popn!K$103:K$107)*Tracks!$B$36,SUM(Popn!K$14:K$18)*Tracks!$C$37,SUM(Popn!K$108:K$112)*Tracks!$B$37,SUM(Popn!K$19:K$23)*Tracks!$C$38,SUM(Popn!K$113:K$117)*Tracks!$B$38,SUM(Popn!K$24:K$28)*Tracks!$C$39,SUM(Popn!K$118:K$122)*Tracks!$B$39,SUM(Popn!K$29:K$38)*Tracks!$C$40,SUM(Popn!K$123:K$132)*Tracks!$B$40,SUM(Popn!K$39:K$48)*Tracks!$C$41,SUM(Popn!K$133:K$142)*Tracks!$B$41,SUM(Popn!K$49:K$58)*Tracks!$C$42,SUM(Popn!K$143:K$152)*Tracks!$B$42,SUM(Popn!K$59:K$68)*Tracks!$C$43,SUM(Popn!K$153:K$162)*Tracks!$B$43,SUM(Popn!K$69:K$73)*Tracks!$C$44,SUM(Popn!K$163:K$167)*Tracks!$B$44,SUM(Popn!K$74:K$99)*Tracks!$C$45,SUM(Popn!K$168:K$193)*Tracks!$B$45)/1000000000</f>
        <v>5.8370239</v>
      </c>
      <c r="L132" s="104">
        <f>SUM(SUM(Popn!L$9:L$13)*Tracks!$C$36,SUM(Popn!L$103:L$107)*Tracks!$B$36,SUM(Popn!L$14:L$18)*Tracks!$C$37,SUM(Popn!L$108:L$112)*Tracks!$B$37,SUM(Popn!L$19:L$23)*Tracks!$C$38,SUM(Popn!L$113:L$117)*Tracks!$B$38,SUM(Popn!L$24:L$28)*Tracks!$C$39,SUM(Popn!L$118:L$122)*Tracks!$B$39,SUM(Popn!L$29:L$38)*Tracks!$C$40,SUM(Popn!L$123:L$132)*Tracks!$B$40,SUM(Popn!L$39:L$48)*Tracks!$C$41,SUM(Popn!L$133:L$142)*Tracks!$B$41,SUM(Popn!L$49:L$58)*Tracks!$C$42,SUM(Popn!L$143:L$152)*Tracks!$B$42,SUM(Popn!L$59:L$68)*Tracks!$C$43,SUM(Popn!L$153:L$162)*Tracks!$B$43,SUM(Popn!L$69:L$73)*Tracks!$C$44,SUM(Popn!L$163:L$167)*Tracks!$B$44,SUM(Popn!L$74:L$99)*Tracks!$C$45,SUM(Popn!L$168:L$193)*Tracks!$B$45)/1000000000</f>
        <v>5.86001375</v>
      </c>
      <c r="M132" s="104">
        <f>SUM(SUM(Popn!M$9:M$13)*Tracks!$C$36,SUM(Popn!M$103:M$107)*Tracks!$B$36,SUM(Popn!M$14:M$18)*Tracks!$C$37,SUM(Popn!M$108:M$112)*Tracks!$B$37,SUM(Popn!M$19:M$23)*Tracks!$C$38,SUM(Popn!M$113:M$117)*Tracks!$B$38,SUM(Popn!M$24:M$28)*Tracks!$C$39,SUM(Popn!M$118:M$122)*Tracks!$B$39,SUM(Popn!M$29:M$38)*Tracks!$C$40,SUM(Popn!M$123:M$132)*Tracks!$B$40,SUM(Popn!M$39:M$48)*Tracks!$C$41,SUM(Popn!M$133:M$142)*Tracks!$B$41,SUM(Popn!M$49:M$58)*Tracks!$C$42,SUM(Popn!M$143:M$152)*Tracks!$B$42,SUM(Popn!M$59:M$68)*Tracks!$C$43,SUM(Popn!M$153:M$162)*Tracks!$B$43,SUM(Popn!M$69:M$73)*Tracks!$C$44,SUM(Popn!M$163:M$167)*Tracks!$B$44,SUM(Popn!M$74:M$99)*Tracks!$C$45,SUM(Popn!M$168:M$193)*Tracks!$B$45)/1000000000</f>
        <v>5.879585</v>
      </c>
      <c r="N132" s="104">
        <f>SUM(SUM(Popn!N$9:N$13)*Tracks!$C$36,SUM(Popn!N$103:N$107)*Tracks!$B$36,SUM(Popn!N$14:N$18)*Tracks!$C$37,SUM(Popn!N$108:N$112)*Tracks!$B$37,SUM(Popn!N$19:N$23)*Tracks!$C$38,SUM(Popn!N$113:N$117)*Tracks!$B$38,SUM(Popn!N$24:N$28)*Tracks!$C$39,SUM(Popn!N$118:N$122)*Tracks!$B$39,SUM(Popn!N$29:N$38)*Tracks!$C$40,SUM(Popn!N$123:N$132)*Tracks!$B$40,SUM(Popn!N$39:N$48)*Tracks!$C$41,SUM(Popn!N$133:N$142)*Tracks!$B$41,SUM(Popn!N$49:N$58)*Tracks!$C$42,SUM(Popn!N$143:N$152)*Tracks!$B$42,SUM(Popn!N$59:N$68)*Tracks!$C$43,SUM(Popn!N$153:N$162)*Tracks!$B$43,SUM(Popn!N$69:N$73)*Tracks!$C$44,SUM(Popn!N$163:N$167)*Tracks!$B$44,SUM(Popn!N$74:N$99)*Tracks!$C$45,SUM(Popn!N$168:N$193)*Tracks!$B$45)/1000000000</f>
        <v>5.89830695</v>
      </c>
      <c r="O132" s="104">
        <f>SUM(SUM(Popn!O$9:O$13)*Tracks!$C$36,SUM(Popn!O$103:O$107)*Tracks!$B$36,SUM(Popn!O$14:O$18)*Tracks!$C$37,SUM(Popn!O$108:O$112)*Tracks!$B$37,SUM(Popn!O$19:O$23)*Tracks!$C$38,SUM(Popn!O$113:O$117)*Tracks!$B$38,SUM(Popn!O$24:O$28)*Tracks!$C$39,SUM(Popn!O$118:O$122)*Tracks!$B$39,SUM(Popn!O$29:O$38)*Tracks!$C$40,SUM(Popn!O$123:O$132)*Tracks!$B$40,SUM(Popn!O$39:O$48)*Tracks!$C$41,SUM(Popn!O$133:O$142)*Tracks!$B$41,SUM(Popn!O$49:O$58)*Tracks!$C$42,SUM(Popn!O$143:O$152)*Tracks!$B$42,SUM(Popn!O$59:O$68)*Tracks!$C$43,SUM(Popn!O$153:O$162)*Tracks!$B$43,SUM(Popn!O$69:O$73)*Tracks!$C$44,SUM(Popn!O$163:O$167)*Tracks!$B$44,SUM(Popn!O$74:O$99)*Tracks!$C$45,SUM(Popn!O$168:O$193)*Tracks!$B$45)/1000000000</f>
        <v>5.91383129</v>
      </c>
      <c r="P132" s="104">
        <f>SUM(SUM(Popn!P$9:P$13)*Tracks!$C$36,SUM(Popn!P$103:P$107)*Tracks!$B$36,SUM(Popn!P$14:P$18)*Tracks!$C$37,SUM(Popn!P$108:P$112)*Tracks!$B$37,SUM(Popn!P$19:P$23)*Tracks!$C$38,SUM(Popn!P$113:P$117)*Tracks!$B$38,SUM(Popn!P$24:P$28)*Tracks!$C$39,SUM(Popn!P$118:P$122)*Tracks!$B$39,SUM(Popn!P$29:P$38)*Tracks!$C$40,SUM(Popn!P$123:P$132)*Tracks!$B$40,SUM(Popn!P$39:P$48)*Tracks!$C$41,SUM(Popn!P$133:P$142)*Tracks!$B$41,SUM(Popn!P$49:P$58)*Tracks!$C$42,SUM(Popn!P$143:P$152)*Tracks!$B$42,SUM(Popn!P$59:P$68)*Tracks!$C$43,SUM(Popn!P$153:P$162)*Tracks!$B$43,SUM(Popn!P$69:P$73)*Tracks!$C$44,SUM(Popn!P$163:P$167)*Tracks!$B$44,SUM(Popn!P$74:P$99)*Tracks!$C$45,SUM(Popn!P$168:P$193)*Tracks!$B$45)/1000000000</f>
        <v>5.93171592</v>
      </c>
      <c r="Q132" s="104">
        <f>SUM(SUM(Popn!Q$9:Q$13)*Tracks!$C$36,SUM(Popn!Q$103:Q$107)*Tracks!$B$36,SUM(Popn!Q$14:Q$18)*Tracks!$C$37,SUM(Popn!Q$108:Q$112)*Tracks!$B$37,SUM(Popn!Q$19:Q$23)*Tracks!$C$38,SUM(Popn!Q$113:Q$117)*Tracks!$B$38,SUM(Popn!Q$24:Q$28)*Tracks!$C$39,SUM(Popn!Q$118:Q$122)*Tracks!$B$39,SUM(Popn!Q$29:Q$38)*Tracks!$C$40,SUM(Popn!Q$123:Q$132)*Tracks!$B$40,SUM(Popn!Q$39:Q$48)*Tracks!$C$41,SUM(Popn!Q$133:Q$142)*Tracks!$B$41,SUM(Popn!Q$49:Q$58)*Tracks!$C$42,SUM(Popn!Q$143:Q$152)*Tracks!$B$42,SUM(Popn!Q$59:Q$68)*Tracks!$C$43,SUM(Popn!Q$153:Q$162)*Tracks!$B$43,SUM(Popn!Q$69:Q$73)*Tracks!$C$44,SUM(Popn!Q$163:Q$167)*Tracks!$B$44,SUM(Popn!Q$74:Q$99)*Tracks!$C$45,SUM(Popn!Q$168:Q$193)*Tracks!$B$45)/1000000000</f>
        <v>5.95474119</v>
      </c>
      <c r="R132" s="104">
        <f>SUM(SUM(Popn!R$9:R$13)*Tracks!$C$36,SUM(Popn!R$103:R$107)*Tracks!$B$36,SUM(Popn!R$14:R$18)*Tracks!$C$37,SUM(Popn!R$108:R$112)*Tracks!$B$37,SUM(Popn!R$19:R$23)*Tracks!$C$38,SUM(Popn!R$113:R$117)*Tracks!$B$38,SUM(Popn!R$24:R$28)*Tracks!$C$39,SUM(Popn!R$118:R$122)*Tracks!$B$39,SUM(Popn!R$29:R$38)*Tracks!$C$40,SUM(Popn!R$123:R$132)*Tracks!$B$40,SUM(Popn!R$39:R$48)*Tracks!$C$41,SUM(Popn!R$133:R$142)*Tracks!$B$41,SUM(Popn!R$49:R$58)*Tracks!$C$42,SUM(Popn!R$143:R$152)*Tracks!$B$42,SUM(Popn!R$59:R$68)*Tracks!$C$43,SUM(Popn!R$153:R$162)*Tracks!$B$43,SUM(Popn!R$69:R$73)*Tracks!$C$44,SUM(Popn!R$163:R$167)*Tracks!$B$44,SUM(Popn!R$74:R$99)*Tracks!$C$45,SUM(Popn!R$168:R$193)*Tracks!$B$45)/1000000000</f>
        <v>5.97626666</v>
      </c>
      <c r="S132" s="104">
        <f>SUM(SUM(Popn!S$9:S$13)*Tracks!$C$36,SUM(Popn!S$103:S$107)*Tracks!$B$36,SUM(Popn!S$14:S$18)*Tracks!$C$37,SUM(Popn!S$108:S$112)*Tracks!$B$37,SUM(Popn!S$19:S$23)*Tracks!$C$38,SUM(Popn!S$113:S$117)*Tracks!$B$38,SUM(Popn!S$24:S$28)*Tracks!$C$39,SUM(Popn!S$118:S$122)*Tracks!$B$39,SUM(Popn!S$29:S$38)*Tracks!$C$40,SUM(Popn!S$123:S$132)*Tracks!$B$40,SUM(Popn!S$39:S$48)*Tracks!$C$41,SUM(Popn!S$133:S$142)*Tracks!$B$41,SUM(Popn!S$49:S$58)*Tracks!$C$42,SUM(Popn!S$143:S$152)*Tracks!$B$42,SUM(Popn!S$59:S$68)*Tracks!$C$43,SUM(Popn!S$153:S$162)*Tracks!$B$43,SUM(Popn!S$69:S$73)*Tracks!$C$44,SUM(Popn!S$163:S$167)*Tracks!$B$44,SUM(Popn!S$74:S$99)*Tracks!$C$45,SUM(Popn!S$168:S$193)*Tracks!$B$45)/1000000000</f>
        <v>6.00146786</v>
      </c>
      <c r="T132" s="104">
        <f>SUM(SUM(Popn!T$9:T$13)*Tracks!$C$36,SUM(Popn!T$103:T$107)*Tracks!$B$36,SUM(Popn!T$14:T$18)*Tracks!$C$37,SUM(Popn!T$108:T$112)*Tracks!$B$37,SUM(Popn!T$19:T$23)*Tracks!$C$38,SUM(Popn!T$113:T$117)*Tracks!$B$38,SUM(Popn!T$24:T$28)*Tracks!$C$39,SUM(Popn!T$118:T$122)*Tracks!$B$39,SUM(Popn!T$29:T$38)*Tracks!$C$40,SUM(Popn!T$123:T$132)*Tracks!$B$40,SUM(Popn!T$39:T$48)*Tracks!$C$41,SUM(Popn!T$133:T$142)*Tracks!$B$41,SUM(Popn!T$49:T$58)*Tracks!$C$42,SUM(Popn!T$143:T$152)*Tracks!$B$42,SUM(Popn!T$59:T$68)*Tracks!$C$43,SUM(Popn!T$153:T$162)*Tracks!$B$43,SUM(Popn!T$69:T$73)*Tracks!$C$44,SUM(Popn!T$163:T$167)*Tracks!$B$44,SUM(Popn!T$74:T$99)*Tracks!$C$45,SUM(Popn!T$168:T$193)*Tracks!$B$45)/1000000000</f>
        <v>6.03691893</v>
      </c>
      <c r="V132" s="58"/>
      <c r="W132" s="58"/>
      <c r="X132" s="58"/>
      <c r="Y132" s="58"/>
    </row>
    <row r="133" spans="1:25" s="304" customFormat="1" ht="12.75">
      <c r="A133" s="302"/>
      <c r="C133" s="247"/>
      <c r="D133" s="247"/>
      <c r="E133" s="24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V133" s="58"/>
      <c r="W133" s="58"/>
      <c r="X133" s="58"/>
      <c r="Y133" s="58"/>
    </row>
    <row r="134" spans="1:25" s="304" customFormat="1" ht="12.75">
      <c r="A134" s="394" t="s">
        <v>810</v>
      </c>
      <c r="C134" s="247"/>
      <c r="D134" s="247"/>
      <c r="E134" s="24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V134" s="58"/>
      <c r="W134" s="58"/>
      <c r="X134" s="58"/>
      <c r="Y134" s="58"/>
    </row>
    <row r="135" spans="1:25" s="304" customFormat="1" ht="12.75">
      <c r="A135" s="302" t="s">
        <v>736</v>
      </c>
      <c r="C135" s="247"/>
      <c r="D135" s="247">
        <f>Data!C$158</f>
        <v>5.484438</v>
      </c>
      <c r="E135" s="247">
        <f>Data!D$158</f>
        <v>5.615169</v>
      </c>
      <c r="F135" s="392">
        <f>Data!E$158</f>
        <v>5.999131</v>
      </c>
      <c r="G135" s="392">
        <f>Data!F$158</f>
        <v>6.408977</v>
      </c>
      <c r="H135" s="392">
        <f>Data!G$158</f>
        <v>6.846917</v>
      </c>
      <c r="I135" s="392">
        <f>Data!H$158</f>
        <v>7.315158</v>
      </c>
      <c r="J135" s="392">
        <f>Data!I$158</f>
        <v>7.816682999999999</v>
      </c>
      <c r="K135" s="303">
        <f aca="true" t="shared" si="66" ref="K135:T135">J$135*IF(K$1="Proj Yr1",AVERAGE(H$135/G$135,I$135/H$135,J$135/I$135),J$135/I$135)</f>
        <v>8.351550224064026</v>
      </c>
      <c r="L135" s="303">
        <f t="shared" si="66"/>
        <v>8.923016469398066</v>
      </c>
      <c r="M135" s="303">
        <f t="shared" si="66"/>
        <v>9.533586074083907</v>
      </c>
      <c r="N135" s="303">
        <f t="shared" si="66"/>
        <v>10.185934738961416</v>
      </c>
      <c r="O135" s="303">
        <f t="shared" si="66"/>
        <v>10.882921253359612</v>
      </c>
      <c r="P135" s="303">
        <f t="shared" si="66"/>
        <v>11.62760002317692</v>
      </c>
      <c r="Q135" s="303">
        <f t="shared" si="66"/>
        <v>12.423234456212448</v>
      </c>
      <c r="R135" s="303">
        <f t="shared" si="66"/>
        <v>13.273311263406871</v>
      </c>
      <c r="S135" s="303">
        <f t="shared" si="66"/>
        <v>14.181555738665265</v>
      </c>
      <c r="T135" s="303">
        <f t="shared" si="66"/>
        <v>15.151948084222731</v>
      </c>
      <c r="V135" s="58"/>
      <c r="W135" s="58"/>
      <c r="X135" s="58"/>
      <c r="Y135" s="58"/>
    </row>
    <row r="136" spans="1:25" s="304" customFormat="1" ht="12.75">
      <c r="A136" s="302" t="s">
        <v>737</v>
      </c>
      <c r="C136" s="247"/>
      <c r="D136" s="247">
        <f>Data!C$152</f>
        <v>5.45701581</v>
      </c>
      <c r="E136" s="247">
        <f>Data!D$152</f>
        <v>5.599</v>
      </c>
      <c r="F136" s="392">
        <f>Data!E$152</f>
        <v>5.599</v>
      </c>
      <c r="G136" s="392">
        <f>Data!F$152</f>
        <v>5.9830000000000005</v>
      </c>
      <c r="H136" s="392">
        <f>Data!G$152</f>
        <v>6.393</v>
      </c>
      <c r="I136" s="392">
        <f>Data!H$152</f>
        <v>6.831</v>
      </c>
      <c r="J136" s="392">
        <f>Data!I$152</f>
        <v>7.297</v>
      </c>
      <c r="K136" s="303">
        <f aca="true" t="shared" si="67" ref="K136:T136">K$135*IF(K$1="Proj Yr1",AVERAGE(H$136/H$135,I$136/I$135,J$136/J$135),J$136/J$135)</f>
        <v>7.7976628761813815</v>
      </c>
      <c r="L136" s="303">
        <f t="shared" si="67"/>
        <v>8.331228622261943</v>
      </c>
      <c r="M136" s="303">
        <f t="shared" si="67"/>
        <v>8.90130433420165</v>
      </c>
      <c r="N136" s="303">
        <f t="shared" si="67"/>
        <v>9.510388256344012</v>
      </c>
      <c r="O136" s="303">
        <f t="shared" si="67"/>
        <v>10.161149578818243</v>
      </c>
      <c r="P136" s="303">
        <f t="shared" si="67"/>
        <v>10.85644013473843</v>
      </c>
      <c r="Q136" s="303">
        <f t="shared" si="67"/>
        <v>11.599306897799543</v>
      </c>
      <c r="R136" s="303">
        <f t="shared" si="67"/>
        <v>12.393005335038557</v>
      </c>
      <c r="S136" s="303">
        <f t="shared" si="67"/>
        <v>13.241013673276496</v>
      </c>
      <c r="T136" s="303">
        <f t="shared" si="67"/>
        <v>14.147048141761305</v>
      </c>
      <c r="V136" s="58"/>
      <c r="W136" s="58"/>
      <c r="X136" s="58"/>
      <c r="Y136" s="58"/>
    </row>
    <row r="137" spans="1:25" s="304" customFormat="1" ht="12.75">
      <c r="A137" s="302" t="s">
        <v>129</v>
      </c>
      <c r="C137" s="247"/>
      <c r="D137" s="247">
        <f>Data!C$195</f>
        <v>0.130559</v>
      </c>
      <c r="E137" s="247">
        <f>Data!D$195</f>
        <v>0.35414399999999996</v>
      </c>
      <c r="F137" s="392">
        <f>Data!E$195</f>
        <v>0.28163699999999997</v>
      </c>
      <c r="G137" s="392">
        <f>Data!F$195</f>
        <v>0.295853</v>
      </c>
      <c r="H137" s="392">
        <f>Data!G$195</f>
        <v>0.312214</v>
      </c>
      <c r="I137" s="392">
        <f>Data!H$195</f>
        <v>0.32958200000000004</v>
      </c>
      <c r="J137" s="392">
        <f>Data!I$195</f>
        <v>0.34802099999999997</v>
      </c>
      <c r="K137" s="303">
        <f aca="true" t="shared" si="68" ref="K137:S137">J$137*K$136/J$136</f>
        <v>0.371899469896056</v>
      </c>
      <c r="L137" s="303">
        <f t="shared" si="68"/>
        <v>0.39734719971881916</v>
      </c>
      <c r="M137" s="303">
        <f t="shared" si="68"/>
        <v>0.4245362252560219</v>
      </c>
      <c r="N137" s="303">
        <f t="shared" si="68"/>
        <v>0.4535856970482525</v>
      </c>
      <c r="O137" s="303">
        <f t="shared" si="68"/>
        <v>0.4846229186747846</v>
      </c>
      <c r="P137" s="303">
        <f t="shared" si="68"/>
        <v>0.5177839046363988</v>
      </c>
      <c r="Q137" s="303">
        <f t="shared" si="68"/>
        <v>0.5532139764121</v>
      </c>
      <c r="R137" s="303">
        <f t="shared" si="68"/>
        <v>0.5910683993018299</v>
      </c>
      <c r="S137" s="303">
        <f t="shared" si="68"/>
        <v>0.6315130628460132</v>
      </c>
      <c r="T137" s="303">
        <f>S$137*T$136/S$136</f>
        <v>0.6747252078037426</v>
      </c>
      <c r="V137" s="58"/>
      <c r="W137" s="58"/>
      <c r="X137" s="58"/>
      <c r="Y137" s="58"/>
    </row>
    <row r="138" spans="1:25" s="304" customFormat="1" ht="12.75">
      <c r="A138" s="302" t="s">
        <v>492</v>
      </c>
      <c r="C138" s="247"/>
      <c r="D138" s="247">
        <f>Data!C$196</f>
        <v>0.076278</v>
      </c>
      <c r="E138" s="247">
        <f>Data!D$196</f>
        <v>0.29969199999999996</v>
      </c>
      <c r="F138" s="392">
        <f>Data!E$196</f>
        <v>0.23570000000000002</v>
      </c>
      <c r="G138" s="392">
        <f>Data!F$196</f>
        <v>0.248965</v>
      </c>
      <c r="H138" s="392">
        <f>Data!G$196</f>
        <v>0.264316</v>
      </c>
      <c r="I138" s="392">
        <f>Data!H$196</f>
        <v>0.280611</v>
      </c>
      <c r="J138" s="392">
        <f>Data!I$196</f>
        <v>0.29790999999999995</v>
      </c>
      <c r="K138" s="303">
        <f aca="true" t="shared" si="69" ref="K138:S138">J$138*K$137/J$137</f>
        <v>0.31835024632632525</v>
      </c>
      <c r="L138" s="303">
        <f t="shared" si="69"/>
        <v>0.34013379729451215</v>
      </c>
      <c r="M138" s="303">
        <f t="shared" si="69"/>
        <v>0.36340791752802704</v>
      </c>
      <c r="N138" s="303">
        <f t="shared" si="69"/>
        <v>0.388274601267294</v>
      </c>
      <c r="O138" s="303">
        <f t="shared" si="69"/>
        <v>0.41484282184812155</v>
      </c>
      <c r="P138" s="303">
        <f t="shared" si="69"/>
        <v>0.44322900925584835</v>
      </c>
      <c r="Q138" s="303">
        <f t="shared" si="69"/>
        <v>0.4735575603567852</v>
      </c>
      <c r="R138" s="303">
        <f t="shared" si="69"/>
        <v>0.5059613840429404</v>
      </c>
      <c r="S138" s="303">
        <f t="shared" si="69"/>
        <v>0.5405824836790188</v>
      </c>
      <c r="T138" s="303">
        <f>S$138*T$137/S$137</f>
        <v>0.5775725794041537</v>
      </c>
      <c r="V138" s="58"/>
      <c r="W138" s="58"/>
      <c r="X138" s="58"/>
      <c r="Y138" s="58"/>
    </row>
    <row r="139" spans="1:25" s="304" customFormat="1" ht="12.75">
      <c r="A139" s="302"/>
      <c r="C139" s="247"/>
      <c r="D139" s="247"/>
      <c r="E139" s="247"/>
      <c r="F139" s="392"/>
      <c r="G139" s="392"/>
      <c r="H139" s="392"/>
      <c r="I139" s="392"/>
      <c r="J139" s="392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V139" s="58"/>
      <c r="W139" s="58"/>
      <c r="X139" s="58"/>
      <c r="Y139" s="58"/>
    </row>
    <row r="140" spans="1:25" s="304" customFormat="1" ht="12.75">
      <c r="A140" s="394" t="s">
        <v>811</v>
      </c>
      <c r="C140" s="247"/>
      <c r="D140" s="247"/>
      <c r="E140" s="247"/>
      <c r="F140" s="415"/>
      <c r="G140" s="415"/>
      <c r="H140" s="415"/>
      <c r="I140" s="415"/>
      <c r="J140" s="415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V140" s="58"/>
      <c r="W140" s="58"/>
      <c r="X140" s="58"/>
      <c r="Y140" s="58"/>
    </row>
    <row r="141" spans="1:25" s="304" customFormat="1" ht="12.75">
      <c r="A141" s="302" t="s">
        <v>901</v>
      </c>
      <c r="C141" s="247"/>
      <c r="D141" s="247">
        <f>Data!C$197</f>
        <v>21.536829</v>
      </c>
      <c r="E141" s="247">
        <f>Data!D$197</f>
        <v>25.795337</v>
      </c>
      <c r="F141" s="392">
        <f>Data!E$197</f>
        <v>20.731849</v>
      </c>
      <c r="G141" s="392">
        <f>Data!F$197</f>
        <v>17.784813999999997</v>
      </c>
      <c r="H141" s="392">
        <f>Data!G$197</f>
        <v>20.586243999999997</v>
      </c>
      <c r="I141" s="392">
        <f>Data!H$197</f>
        <v>18.662854</v>
      </c>
      <c r="J141" s="392">
        <f>Data!I$197</f>
        <v>16.544641</v>
      </c>
      <c r="K141" s="303">
        <f aca="true" t="shared" si="70" ref="K141:T141">J$141-K$206</f>
        <v>16.544641</v>
      </c>
      <c r="L141" s="303">
        <f t="shared" si="70"/>
        <v>16.544641</v>
      </c>
      <c r="M141" s="303">
        <f t="shared" si="70"/>
        <v>16.544641</v>
      </c>
      <c r="N141" s="303">
        <f t="shared" si="70"/>
        <v>16.544641</v>
      </c>
      <c r="O141" s="303">
        <f t="shared" si="70"/>
        <v>16.544641</v>
      </c>
      <c r="P141" s="303">
        <f t="shared" si="70"/>
        <v>16.544641</v>
      </c>
      <c r="Q141" s="303">
        <f t="shared" si="70"/>
        <v>16.544641</v>
      </c>
      <c r="R141" s="303">
        <f t="shared" si="70"/>
        <v>16.544641</v>
      </c>
      <c r="S141" s="303">
        <f t="shared" si="70"/>
        <v>16.544641</v>
      </c>
      <c r="T141" s="303">
        <f t="shared" si="70"/>
        <v>16.544641</v>
      </c>
      <c r="V141" s="58"/>
      <c r="W141" s="58"/>
      <c r="X141" s="58"/>
      <c r="Y141" s="58"/>
    </row>
    <row r="142" spans="1:25" s="304" customFormat="1" ht="12.75">
      <c r="A142" s="302" t="s">
        <v>904</v>
      </c>
      <c r="B142" s="297"/>
      <c r="C142" s="247"/>
      <c r="D142" s="247">
        <f>D$119-Data!C201</f>
        <v>10.324653</v>
      </c>
      <c r="E142" s="247">
        <f>E$119-Data!D201</f>
        <v>12.84394</v>
      </c>
      <c r="F142" s="224">
        <f>F$119-Data!E201</f>
        <v>15.142267</v>
      </c>
      <c r="G142" s="224">
        <f>G$119-Data!F201</f>
        <v>17.355562</v>
      </c>
      <c r="H142" s="224">
        <f>H$119-Data!G201</f>
        <v>20.317616</v>
      </c>
      <c r="I142" s="224">
        <f>I$119-Data!H201</f>
        <v>23.622961</v>
      </c>
      <c r="J142" s="224">
        <f>J$119-Data!I201</f>
        <v>27.238099</v>
      </c>
      <c r="K142" s="303">
        <f>K$119-K160</f>
        <v>31.166019809057254</v>
      </c>
      <c r="L142" s="303">
        <f aca="true" t="shared" si="71" ref="L142:T142">L$119-L160</f>
        <v>35.26903516648326</v>
      </c>
      <c r="M142" s="303">
        <f t="shared" si="71"/>
        <v>39.60226174388418</v>
      </c>
      <c r="N142" s="303">
        <f t="shared" si="71"/>
        <v>44.22048383194022</v>
      </c>
      <c r="O142" s="303">
        <f t="shared" si="71"/>
        <v>49.132514365505614</v>
      </c>
      <c r="P142" s="303">
        <f t="shared" si="71"/>
        <v>54.330941557169645</v>
      </c>
      <c r="Q142" s="303">
        <f t="shared" si="71"/>
        <v>59.812057242040574</v>
      </c>
      <c r="R142" s="303">
        <f t="shared" si="71"/>
        <v>65.49928194389251</v>
      </c>
      <c r="S142" s="303">
        <f t="shared" si="71"/>
        <v>71.38031065212172</v>
      </c>
      <c r="T142" s="303">
        <f t="shared" si="71"/>
        <v>77.42617195945128</v>
      </c>
      <c r="V142" s="139"/>
      <c r="W142" s="139"/>
      <c r="X142" s="139"/>
      <c r="Y142" s="139"/>
    </row>
    <row r="143" spans="1:25" s="304" customFormat="1" ht="12.75">
      <c r="A143" s="302" t="s">
        <v>511</v>
      </c>
      <c r="B143" s="297"/>
      <c r="C143" s="247"/>
      <c r="D143" s="247">
        <f>Data!C$118-Data!C$198-SUM(D$141,D$142)</f>
        <v>1.1805179999999993</v>
      </c>
      <c r="E143" s="247">
        <f>Data!D$118-Data!D$198-SUM(E$141,E$142)</f>
        <v>0.06072300000000297</v>
      </c>
      <c r="F143" s="224">
        <f>Data!E$118-Data!E$198-SUM(F$141,F$142)</f>
        <v>-0.02211600000000402</v>
      </c>
      <c r="G143" s="224">
        <f>Data!F$118-Data!F$198-SUM(G$141,G$142)</f>
        <v>-0.025376000000001397</v>
      </c>
      <c r="H143" s="224">
        <f>Data!G$118-Data!G$198-SUM(H$141,H$142)</f>
        <v>-0.03685999999999012</v>
      </c>
      <c r="I143" s="224">
        <f>Data!H$118-Data!H$198-SUM(I$141,I$142)</f>
        <v>-0.04881499999999761</v>
      </c>
      <c r="J143" s="224">
        <f>Data!I$118-Data!I$198-SUM(J$141,J$142)</f>
        <v>-0.07573999999999614</v>
      </c>
      <c r="K143" s="303">
        <f>J143</f>
        <v>-0.07573999999999614</v>
      </c>
      <c r="L143" s="303">
        <f aca="true" t="shared" si="72" ref="L143:T143">K143</f>
        <v>-0.07573999999999614</v>
      </c>
      <c r="M143" s="303">
        <f t="shared" si="72"/>
        <v>-0.07573999999999614</v>
      </c>
      <c r="N143" s="303">
        <f t="shared" si="72"/>
        <v>-0.07573999999999614</v>
      </c>
      <c r="O143" s="303">
        <f t="shared" si="72"/>
        <v>-0.07573999999999614</v>
      </c>
      <c r="P143" s="303">
        <f t="shared" si="72"/>
        <v>-0.07573999999999614</v>
      </c>
      <c r="Q143" s="303">
        <f t="shared" si="72"/>
        <v>-0.07573999999999614</v>
      </c>
      <c r="R143" s="303">
        <f t="shared" si="72"/>
        <v>-0.07573999999999614</v>
      </c>
      <c r="S143" s="303">
        <f t="shared" si="72"/>
        <v>-0.07573999999999614</v>
      </c>
      <c r="T143" s="303">
        <f t="shared" si="72"/>
        <v>-0.07573999999999614</v>
      </c>
      <c r="V143" s="58"/>
      <c r="W143" s="58"/>
      <c r="X143" s="58"/>
      <c r="Y143" s="58"/>
    </row>
    <row r="144" spans="1:25" s="304" customFormat="1" ht="12.75">
      <c r="A144" s="382" t="s">
        <v>903</v>
      </c>
      <c r="C144" s="247"/>
      <c r="D144" s="141">
        <f>SUM(D$141,D$142,D$143)</f>
        <v>33.042</v>
      </c>
      <c r="E144" s="141">
        <f>SUM(E$141,E$142,E$143)</f>
        <v>38.7</v>
      </c>
      <c r="F144" s="390">
        <f>SUM(F$141,F$142,F$143)</f>
        <v>35.852</v>
      </c>
      <c r="G144" s="390">
        <f aca="true" t="shared" si="73" ref="G144:T144">SUM(G$141,G$142,G$143)</f>
        <v>35.114999999999995</v>
      </c>
      <c r="H144" s="390">
        <f t="shared" si="73"/>
        <v>40.867000000000004</v>
      </c>
      <c r="I144" s="390">
        <f t="shared" si="73"/>
        <v>42.237</v>
      </c>
      <c r="J144" s="390">
        <f t="shared" si="73"/>
        <v>43.707</v>
      </c>
      <c r="K144" s="148">
        <f>SUM(K$141,K$142,K$143)</f>
        <v>47.634920809057256</v>
      </c>
      <c r="L144" s="148">
        <f t="shared" si="73"/>
        <v>51.737936166483266</v>
      </c>
      <c r="M144" s="148">
        <f t="shared" si="73"/>
        <v>56.07116274388418</v>
      </c>
      <c r="N144" s="148">
        <f t="shared" si="73"/>
        <v>60.689384831940224</v>
      </c>
      <c r="O144" s="148">
        <f t="shared" si="73"/>
        <v>65.60141536550562</v>
      </c>
      <c r="P144" s="148">
        <f t="shared" si="73"/>
        <v>70.79984255716965</v>
      </c>
      <c r="Q144" s="148">
        <f t="shared" si="73"/>
        <v>76.28095824204058</v>
      </c>
      <c r="R144" s="148">
        <f t="shared" si="73"/>
        <v>81.96818294389251</v>
      </c>
      <c r="S144" s="148">
        <f t="shared" si="73"/>
        <v>87.84921165212172</v>
      </c>
      <c r="T144" s="148">
        <f t="shared" si="73"/>
        <v>93.89507295945128</v>
      </c>
      <c r="V144" s="58"/>
      <c r="W144" s="58"/>
      <c r="X144" s="58"/>
      <c r="Y144" s="58"/>
    </row>
    <row r="145" spans="1:25" s="304" customFormat="1" ht="12.75">
      <c r="A145" s="391" t="s">
        <v>905</v>
      </c>
      <c r="C145" s="247"/>
      <c r="D145" s="247">
        <f>D$127</f>
        <v>9.0113704</v>
      </c>
      <c r="E145" s="247">
        <f>E$127</f>
        <v>10.017</v>
      </c>
      <c r="F145" s="392">
        <f aca="true" t="shared" si="74" ref="F145:T145">F$127</f>
        <v>10.017</v>
      </c>
      <c r="G145" s="392">
        <f t="shared" si="74"/>
        <v>10.966999999999999</v>
      </c>
      <c r="H145" s="392">
        <f t="shared" si="74"/>
        <v>11.953</v>
      </c>
      <c r="I145" s="392">
        <f t="shared" si="74"/>
        <v>12.942</v>
      </c>
      <c r="J145" s="392">
        <f t="shared" si="74"/>
        <v>13.838000000000001</v>
      </c>
      <c r="K145" s="303">
        <f t="shared" si="74"/>
        <v>14.542070357123306</v>
      </c>
      <c r="L145" s="303">
        <f t="shared" si="74"/>
        <v>15.44647632022631</v>
      </c>
      <c r="M145" s="303">
        <f t="shared" si="74"/>
        <v>16.40712944250329</v>
      </c>
      <c r="N145" s="303">
        <f t="shared" si="74"/>
        <v>17.427527868641715</v>
      </c>
      <c r="O145" s="303">
        <f t="shared" si="74"/>
        <v>18.51138730127214</v>
      </c>
      <c r="P145" s="303">
        <f t="shared" si="74"/>
        <v>19.66265453141444</v>
      </c>
      <c r="Q145" s="303">
        <f t="shared" si="74"/>
        <v>20.885521810414687</v>
      </c>
      <c r="R145" s="303">
        <f t="shared" si="74"/>
        <v>22.184442115707004</v>
      </c>
      <c r="S145" s="303">
        <f t="shared" si="74"/>
        <v>23.56414536598944</v>
      </c>
      <c r="T145" s="303">
        <f t="shared" si="74"/>
        <v>25.029655644860263</v>
      </c>
      <c r="V145" s="58"/>
      <c r="W145" s="58"/>
      <c r="X145" s="58"/>
      <c r="Y145" s="58"/>
    </row>
    <row r="146" spans="1:25" s="304" customFormat="1" ht="12.75">
      <c r="A146" s="391" t="s">
        <v>906</v>
      </c>
      <c r="C146" s="247"/>
      <c r="D146" s="247">
        <f>D$136</f>
        <v>5.45701581</v>
      </c>
      <c r="E146" s="247">
        <f>E$136</f>
        <v>5.599</v>
      </c>
      <c r="F146" s="392">
        <f aca="true" t="shared" si="75" ref="F146:T146">F$136</f>
        <v>5.599</v>
      </c>
      <c r="G146" s="392">
        <f t="shared" si="75"/>
        <v>5.9830000000000005</v>
      </c>
      <c r="H146" s="392">
        <f t="shared" si="75"/>
        <v>6.393</v>
      </c>
      <c r="I146" s="392">
        <f t="shared" si="75"/>
        <v>6.831</v>
      </c>
      <c r="J146" s="392">
        <f t="shared" si="75"/>
        <v>7.297</v>
      </c>
      <c r="K146" s="303">
        <f t="shared" si="75"/>
        <v>7.7976628761813815</v>
      </c>
      <c r="L146" s="303">
        <f t="shared" si="75"/>
        <v>8.331228622261943</v>
      </c>
      <c r="M146" s="303">
        <f t="shared" si="75"/>
        <v>8.90130433420165</v>
      </c>
      <c r="N146" s="303">
        <f t="shared" si="75"/>
        <v>9.510388256344012</v>
      </c>
      <c r="O146" s="303">
        <f t="shared" si="75"/>
        <v>10.161149578818243</v>
      </c>
      <c r="P146" s="303">
        <f t="shared" si="75"/>
        <v>10.85644013473843</v>
      </c>
      <c r="Q146" s="303">
        <f t="shared" si="75"/>
        <v>11.599306897799543</v>
      </c>
      <c r="R146" s="303">
        <f t="shared" si="75"/>
        <v>12.393005335038557</v>
      </c>
      <c r="S146" s="303">
        <f t="shared" si="75"/>
        <v>13.241013673276496</v>
      </c>
      <c r="T146" s="303">
        <f t="shared" si="75"/>
        <v>14.147048141761305</v>
      </c>
      <c r="V146" s="58"/>
      <c r="W146" s="58"/>
      <c r="X146" s="58"/>
      <c r="Y146" s="58"/>
    </row>
    <row r="147" spans="1:25" s="304" customFormat="1" ht="12.75">
      <c r="A147" s="391" t="s">
        <v>512</v>
      </c>
      <c r="B147" s="297"/>
      <c r="C147" s="247"/>
      <c r="D147" s="247">
        <f>SUM(D$144,D$145,D$146)-SUM(Data!C$62,Data!C$64)</f>
        <v>11.748386210000007</v>
      </c>
      <c r="E147" s="247">
        <f>SUM(E$144,E$145,E$146)-SUM(Data!D$62,Data!D$64)</f>
        <v>8.293999999999997</v>
      </c>
      <c r="F147" s="224">
        <f>SUM(F$144,F$145,F$146)-SUM(Data!E$62,Data!E$64)</f>
        <v>1.3470000000000013</v>
      </c>
      <c r="G147" s="224">
        <f>SUM(G$144,G$145,G$146)-SUM(Data!F$62,Data!F$64)</f>
        <v>1.814</v>
      </c>
      <c r="H147" s="224">
        <f>SUM(H$144,H$145,H$146)-SUM(Data!G$62,Data!G$64)</f>
        <v>2.2080000000000126</v>
      </c>
      <c r="I147" s="224">
        <f>SUM(I$144,I$145,I$146)-SUM(Data!H$62,Data!H$64)</f>
        <v>2.7690000000000055</v>
      </c>
      <c r="J147" s="224">
        <f>SUM(J$144,J$145,J$146)-SUM(Data!I$62,Data!I$64)</f>
        <v>3.438999999999993</v>
      </c>
      <c r="K147" s="303">
        <f aca="true" t="shared" si="76" ref="K147:T147">J$147*(1+K$215)</f>
        <v>3.515370498466602</v>
      </c>
      <c r="L147" s="303">
        <f t="shared" si="76"/>
        <v>3.586406229485577</v>
      </c>
      <c r="M147" s="303">
        <f t="shared" si="76"/>
        <v>3.6581343540752886</v>
      </c>
      <c r="N147" s="303">
        <f t="shared" si="76"/>
        <v>3.7312970411567945</v>
      </c>
      <c r="O147" s="303">
        <f t="shared" si="76"/>
        <v>3.8059229819799305</v>
      </c>
      <c r="P147" s="303">
        <f t="shared" si="76"/>
        <v>3.882041441619529</v>
      </c>
      <c r="Q147" s="303">
        <f t="shared" si="76"/>
        <v>3.9596822704519195</v>
      </c>
      <c r="R147" s="303">
        <f t="shared" si="76"/>
        <v>4.038875915860958</v>
      </c>
      <c r="S147" s="303">
        <f t="shared" si="76"/>
        <v>4.1196534341781765</v>
      </c>
      <c r="T147" s="303">
        <f t="shared" si="76"/>
        <v>4.20204650286174</v>
      </c>
      <c r="V147" s="58"/>
      <c r="W147" s="58"/>
      <c r="X147" s="58"/>
      <c r="Y147" s="58"/>
    </row>
    <row r="148" spans="1:25" s="304" customFormat="1" ht="12.75">
      <c r="A148" s="382" t="s">
        <v>907</v>
      </c>
      <c r="C148" s="247"/>
      <c r="D148" s="141">
        <f aca="true" t="shared" si="77" ref="D148:T148">SUM(D$144:D$146,-D$147)</f>
        <v>35.762</v>
      </c>
      <c r="E148" s="141">
        <f t="shared" si="77"/>
        <v>46.022000000000006</v>
      </c>
      <c r="F148" s="390">
        <f t="shared" si="77"/>
        <v>50.121</v>
      </c>
      <c r="G148" s="390">
        <f t="shared" si="77"/>
        <v>50.251</v>
      </c>
      <c r="H148" s="390">
        <f t="shared" si="77"/>
        <v>57.004999999999995</v>
      </c>
      <c r="I148" s="390">
        <f t="shared" si="77"/>
        <v>59.241</v>
      </c>
      <c r="J148" s="390">
        <f t="shared" si="77"/>
        <v>61.403000000000006</v>
      </c>
      <c r="K148" s="148">
        <f t="shared" si="77"/>
        <v>66.45928354389534</v>
      </c>
      <c r="L148" s="148">
        <f t="shared" si="77"/>
        <v>71.92923487948595</v>
      </c>
      <c r="M148" s="148">
        <f t="shared" si="77"/>
        <v>77.72146216651385</v>
      </c>
      <c r="N148" s="148">
        <f t="shared" si="77"/>
        <v>83.89600391576916</v>
      </c>
      <c r="O148" s="148">
        <f t="shared" si="77"/>
        <v>90.46802926361606</v>
      </c>
      <c r="P148" s="148">
        <f t="shared" si="77"/>
        <v>97.43689578170299</v>
      </c>
      <c r="Q148" s="148">
        <f t="shared" si="77"/>
        <v>104.80610467980289</v>
      </c>
      <c r="R148" s="148">
        <f t="shared" si="77"/>
        <v>112.50675447877711</v>
      </c>
      <c r="S148" s="148">
        <f t="shared" si="77"/>
        <v>120.53471725720948</v>
      </c>
      <c r="T148" s="148">
        <f t="shared" si="77"/>
        <v>128.8697302432111</v>
      </c>
      <c r="V148" s="58"/>
      <c r="W148" s="58"/>
      <c r="X148" s="58"/>
      <c r="Y148" s="58"/>
    </row>
    <row r="149" spans="1:25" s="304" customFormat="1" ht="12.75">
      <c r="A149" s="382"/>
      <c r="C149" s="247"/>
      <c r="D149" s="141"/>
      <c r="E149" s="141"/>
      <c r="F149" s="390"/>
      <c r="G149" s="390"/>
      <c r="H149" s="390"/>
      <c r="I149" s="390"/>
      <c r="J149" s="390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V149" s="58"/>
      <c r="W149" s="58"/>
      <c r="X149" s="58"/>
      <c r="Y149" s="58"/>
    </row>
    <row r="150" spans="1:25" s="304" customFormat="1" ht="12.75">
      <c r="A150" s="394" t="s">
        <v>148</v>
      </c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V150" s="58"/>
      <c r="W150" s="58"/>
      <c r="X150" s="58"/>
      <c r="Y150" s="58"/>
    </row>
    <row r="151" spans="1:25" s="304" customFormat="1" ht="12.75">
      <c r="A151" s="302" t="s">
        <v>577</v>
      </c>
      <c r="C151" s="247"/>
      <c r="D151" s="121">
        <f>Data!C$160</f>
        <v>5.569</v>
      </c>
      <c r="E151" s="121">
        <f aca="true" t="shared" si="78" ref="E151:S151">D$157</f>
        <v>6.011</v>
      </c>
      <c r="F151" s="392">
        <f t="shared" si="78"/>
        <v>6.741</v>
      </c>
      <c r="G151" s="392">
        <f t="shared" si="78"/>
        <v>7.173</v>
      </c>
      <c r="H151" s="392">
        <f t="shared" si="78"/>
        <v>7.599000000000001</v>
      </c>
      <c r="I151" s="392">
        <f t="shared" si="78"/>
        <v>8.022</v>
      </c>
      <c r="J151" s="392">
        <f t="shared" si="78"/>
        <v>8.440999999999999</v>
      </c>
      <c r="K151" s="303">
        <f t="shared" si="78"/>
        <v>8.851999999999999</v>
      </c>
      <c r="L151" s="303">
        <f t="shared" si="78"/>
        <v>9.257411604744867</v>
      </c>
      <c r="M151" s="303">
        <f t="shared" si="78"/>
        <v>9.65930992712406</v>
      </c>
      <c r="N151" s="303">
        <f t="shared" si="78"/>
        <v>10.05619783937826</v>
      </c>
      <c r="O151" s="303">
        <f t="shared" si="78"/>
        <v>10.44369313351828</v>
      </c>
      <c r="P151" s="303">
        <f t="shared" si="78"/>
        <v>10.8223124071786</v>
      </c>
      <c r="Q151" s="303">
        <f t="shared" si="78"/>
        <v>11.194299481365034</v>
      </c>
      <c r="R151" s="303">
        <f t="shared" si="78"/>
        <v>11.557560127700686</v>
      </c>
      <c r="S151" s="303">
        <f t="shared" si="78"/>
        <v>11.910939357488157</v>
      </c>
      <c r="T151" s="303">
        <f>S$157</f>
        <v>12.252379746962445</v>
      </c>
      <c r="V151" s="58"/>
      <c r="W151" s="58"/>
      <c r="X151" s="58"/>
      <c r="Y151" s="58"/>
    </row>
    <row r="152" spans="1:25" s="304" customFormat="1" ht="12.75">
      <c r="A152" s="391" t="s">
        <v>872</v>
      </c>
      <c r="C152" s="247"/>
      <c r="D152" s="247">
        <f>Data!C$161</f>
        <v>1.176</v>
      </c>
      <c r="E152" s="247">
        <f>Data!D$161</f>
        <v>1.201</v>
      </c>
      <c r="F152" s="392">
        <f>Data!E$161</f>
        <v>1.298</v>
      </c>
      <c r="G152" s="392">
        <f>Data!F$161</f>
        <v>1.384</v>
      </c>
      <c r="H152" s="392">
        <f>Data!G$161</f>
        <v>1.47</v>
      </c>
      <c r="I152" s="392">
        <f>Data!H$161</f>
        <v>1.558</v>
      </c>
      <c r="J152" s="392">
        <f>Data!I$161</f>
        <v>1.638</v>
      </c>
      <c r="K152" s="303">
        <f>J$152*Tracks!W$23/Tracks!V$23</f>
        <v>1.7163778727148506</v>
      </c>
      <c r="L152" s="303">
        <f>K$152*Tracks!X$23/Tracks!W$23</f>
        <v>1.7926194184476894</v>
      </c>
      <c r="M152" s="303">
        <f>L$152*Tracks!Y$23/Tracks!X$23</f>
        <v>1.8667138066016298</v>
      </c>
      <c r="N152" s="303">
        <f>M$152*Tracks!Z$23/Tracks!Y$23</f>
        <v>1.9386841282938767</v>
      </c>
      <c r="O152" s="303">
        <f>N$152*Tracks!AA$23/Tracks!Z$23</f>
        <v>2.0085810918707208</v>
      </c>
      <c r="P152" s="303">
        <f>O$152*Tracks!AB$23/Tracks!AA$23</f>
        <v>2.0764773374109953</v>
      </c>
      <c r="Q152" s="303">
        <f>P$152*Tracks!AC$23/Tracks!AB$23</f>
        <v>2.1424624092229783</v>
      </c>
      <c r="R152" s="303">
        <f>Q$152*Tracks!AD$23/Tracks!AC$23</f>
        <v>2.206638387658089</v>
      </c>
      <c r="S152" s="303">
        <f>R$152*Tracks!AE$23/Tracks!AD$23</f>
        <v>2.2691161551226857</v>
      </c>
      <c r="T152" s="303">
        <f>S$152*Tracks!AF$23/Tracks!AE$23</f>
        <v>2.330106579657414</v>
      </c>
      <c r="V152" s="58"/>
      <c r="W152" s="58"/>
      <c r="X152" s="58"/>
      <c r="Y152" s="58"/>
    </row>
    <row r="153" spans="1:25" s="304" customFormat="1" ht="12.75">
      <c r="A153" s="389" t="s">
        <v>873</v>
      </c>
      <c r="C153" s="247"/>
      <c r="D153" s="247">
        <f>Data!C$162</f>
        <v>0.488</v>
      </c>
      <c r="E153" s="247">
        <f>Data!D$162</f>
        <v>0.487</v>
      </c>
      <c r="F153" s="392">
        <f>Data!E$162</f>
        <v>0.503</v>
      </c>
      <c r="G153" s="392">
        <f>Data!F$162</f>
        <v>0.536</v>
      </c>
      <c r="H153" s="392">
        <f>Data!G$162</f>
        <v>0.57</v>
      </c>
      <c r="I153" s="392">
        <f>Data!H$162</f>
        <v>0.604</v>
      </c>
      <c r="J153" s="392">
        <f>Data!I$162</f>
        <v>0.634</v>
      </c>
      <c r="K153" s="303">
        <f aca="true" t="shared" si="79" ref="K153:S153">J$153*K$152/J$152</f>
        <v>0.6643367346161266</v>
      </c>
      <c r="L153" s="303">
        <f t="shared" si="79"/>
        <v>0.6938465880926955</v>
      </c>
      <c r="M153" s="303">
        <f t="shared" si="79"/>
        <v>0.7225253683671755</v>
      </c>
      <c r="N153" s="303">
        <f t="shared" si="79"/>
        <v>0.7503820130270562</v>
      </c>
      <c r="O153" s="303">
        <f t="shared" si="79"/>
        <v>0.7774361491123548</v>
      </c>
      <c r="P153" s="303">
        <f t="shared" si="79"/>
        <v>0.8037158925021802</v>
      </c>
      <c r="Q153" s="303">
        <f t="shared" si="79"/>
        <v>0.8292559019825204</v>
      </c>
      <c r="R153" s="303">
        <f t="shared" si="79"/>
        <v>0.8540956885074656</v>
      </c>
      <c r="S153" s="303">
        <f t="shared" si="79"/>
        <v>0.8782781699314914</v>
      </c>
      <c r="T153" s="303">
        <f>S$153*T$152/S$152</f>
        <v>0.901884964287424</v>
      </c>
      <c r="V153" s="58"/>
      <c r="W153" s="58"/>
      <c r="X153" s="58"/>
      <c r="Y153" s="58"/>
    </row>
    <row r="154" spans="1:25" s="304" customFormat="1" ht="12.75">
      <c r="A154" s="391" t="s">
        <v>874</v>
      </c>
      <c r="C154" s="247"/>
      <c r="D154" s="247">
        <f>Data!C$163</f>
        <v>0.555</v>
      </c>
      <c r="E154" s="247">
        <f>Data!D$163</f>
        <v>0.629</v>
      </c>
      <c r="F154" s="392">
        <f>Data!E$163</f>
        <v>0.703</v>
      </c>
      <c r="G154" s="392">
        <f>Data!F$163</f>
        <v>0.795</v>
      </c>
      <c r="H154" s="392">
        <f>Data!G$163</f>
        <v>0.879</v>
      </c>
      <c r="I154" s="392">
        <f>Data!H$163</f>
        <v>0.965</v>
      </c>
      <c r="J154" s="392">
        <f>Data!I$163</f>
        <v>1.05</v>
      </c>
      <c r="K154" s="303">
        <f>J$154*Tracks!W$27/Tracks!V$27</f>
        <v>1.1254034937993254</v>
      </c>
      <c r="L154" s="303">
        <f>K$154*Tracks!X$27/Tracks!W$27</f>
        <v>1.1967551147966937</v>
      </c>
      <c r="M154" s="303">
        <f>L$154*Tracks!Y$27/Tracks!X$27</f>
        <v>1.267589421498219</v>
      </c>
      <c r="N154" s="303">
        <f>M$154*Tracks!Z$27/Tracks!Y$27</f>
        <v>1.3408333422204526</v>
      </c>
      <c r="O154" s="303">
        <f>N$154*Tracks!AA$27/Tracks!Z$27</f>
        <v>1.411694362968915</v>
      </c>
      <c r="P154" s="303">
        <f>O$154*Tracks!AB$27/Tracks!AA$27</f>
        <v>1.478508180250572</v>
      </c>
      <c r="Q154" s="303">
        <f>P$154*Tracks!AC$27/Tracks!AB$27</f>
        <v>1.5456692732718098</v>
      </c>
      <c r="R154" s="303">
        <f>Q$154*Tracks!AD$27/Tracks!AC$27</f>
        <v>1.6123639088908837</v>
      </c>
      <c r="S154" s="303">
        <f>R$154*Tracks!AE$27/Tracks!AD$27</f>
        <v>1.6796161250101647</v>
      </c>
      <c r="T154" s="303">
        <f>S$154*Tracks!AF$27/Tracks!AE$27</f>
        <v>1.747226299111248</v>
      </c>
      <c r="V154" s="58"/>
      <c r="W154" s="58"/>
      <c r="X154" s="58"/>
      <c r="Y154" s="58"/>
    </row>
    <row r="155" spans="1:25" s="304" customFormat="1" ht="12.75">
      <c r="A155" s="391" t="s">
        <v>508</v>
      </c>
      <c r="C155" s="247"/>
      <c r="D155" s="247">
        <f>Data!C$164</f>
        <v>0.36</v>
      </c>
      <c r="E155" s="247">
        <f>Data!D$164</f>
        <v>0.407</v>
      </c>
      <c r="F155" s="392">
        <f>Data!E$164</f>
        <v>0.452</v>
      </c>
      <c r="G155" s="392">
        <f>Data!F$164</f>
        <v>0.483</v>
      </c>
      <c r="H155" s="392">
        <f>Data!G$164</f>
        <v>0.51</v>
      </c>
      <c r="I155" s="392">
        <f>Data!H$164</f>
        <v>0.539</v>
      </c>
      <c r="J155" s="392">
        <f>Data!I$164</f>
        <v>0.568</v>
      </c>
      <c r="K155" s="303">
        <f aca="true" t="shared" si="80" ref="K155:S155">J$155*K$152/J$152</f>
        <v>0.5951786518327443</v>
      </c>
      <c r="L155" s="303">
        <f t="shared" si="80"/>
        <v>0.6216165016350962</v>
      </c>
      <c r="M155" s="303">
        <f t="shared" si="80"/>
        <v>0.6473097937422013</v>
      </c>
      <c r="N155" s="303">
        <f t="shared" si="80"/>
        <v>0.6722665353302332</v>
      </c>
      <c r="O155" s="303">
        <f t="shared" si="80"/>
        <v>0.6965043102457689</v>
      </c>
      <c r="P155" s="303">
        <f t="shared" si="80"/>
        <v>0.7200483074782938</v>
      </c>
      <c r="Q155" s="303">
        <f t="shared" si="80"/>
        <v>0.7429295778013747</v>
      </c>
      <c r="R155" s="303">
        <f t="shared" si="80"/>
        <v>0.7651835190413887</v>
      </c>
      <c r="S155" s="303">
        <f t="shared" si="80"/>
        <v>0.7868485812635443</v>
      </c>
      <c r="T155" s="303">
        <f>S$155*T$152/S$152</f>
        <v>0.8079978859862095</v>
      </c>
      <c r="V155" s="58"/>
      <c r="W155" s="58"/>
      <c r="X155" s="58"/>
      <c r="Y155" s="58"/>
    </row>
    <row r="156" spans="1:25" s="304" customFormat="1" ht="12.75">
      <c r="A156" s="389" t="s">
        <v>875</v>
      </c>
      <c r="B156" s="297"/>
      <c r="C156" s="247"/>
      <c r="D156" s="247">
        <f>Data!C$165-Data!C$166</f>
        <v>0.05099999999999999</v>
      </c>
      <c r="E156" s="247">
        <f>Data!D$165-Data!D$166</f>
        <v>-0.23800000000000002</v>
      </c>
      <c r="F156" s="224">
        <f>Data!E$165-Data!E$166</f>
        <v>0.112</v>
      </c>
      <c r="G156" s="224">
        <f>Data!F$165-Data!F$166</f>
        <v>0.11</v>
      </c>
      <c r="H156" s="224">
        <f>Data!G$165-Data!G$166</f>
        <v>0.108</v>
      </c>
      <c r="I156" s="224">
        <f>Data!H$165-Data!H$166</f>
        <v>0.109</v>
      </c>
      <c r="J156" s="224">
        <f>Data!I$165-Data!I$166</f>
        <v>0.111</v>
      </c>
      <c r="K156" s="303">
        <f aca="true" t="shared" si="81" ref="K156:S156">J$156*K$151/J$151</f>
        <v>0.1164046913872764</v>
      </c>
      <c r="L156" s="303">
        <f t="shared" si="81"/>
        <v>0.12173589481420218</v>
      </c>
      <c r="M156" s="303">
        <f t="shared" si="81"/>
        <v>0.1270208982242354</v>
      </c>
      <c r="N156" s="303">
        <f t="shared" si="81"/>
        <v>0.13224001423658185</v>
      </c>
      <c r="O156" s="303">
        <f t="shared" si="81"/>
        <v>0.13733561637489985</v>
      </c>
      <c r="P156" s="303">
        <f t="shared" si="81"/>
        <v>0.14231449795010367</v>
      </c>
      <c r="Q156" s="303">
        <f t="shared" si="81"/>
        <v>0.14720616543437023</v>
      </c>
      <c r="R156" s="303">
        <f t="shared" si="81"/>
        <v>0.15198307951365675</v>
      </c>
      <c r="S156" s="303">
        <f t="shared" si="81"/>
        <v>0.1566300519702862</v>
      </c>
      <c r="T156" s="303">
        <f>S$156*T$151/S$151</f>
        <v>0.16112002747456838</v>
      </c>
      <c r="V156" s="58"/>
      <c r="W156" s="58"/>
      <c r="X156" s="58"/>
      <c r="Y156" s="58"/>
    </row>
    <row r="157" spans="1:25" s="304" customFormat="1" ht="12.75">
      <c r="A157" s="382" t="s">
        <v>149</v>
      </c>
      <c r="B157" s="297"/>
      <c r="C157" s="247"/>
      <c r="D157" s="141">
        <f aca="true" t="shared" si="82" ref="D157:T157">SUM(D$151,D$152,D$155)-SUM(D$153,D$154,D$156)</f>
        <v>6.011</v>
      </c>
      <c r="E157" s="141">
        <f t="shared" si="82"/>
        <v>6.741</v>
      </c>
      <c r="F157" s="390">
        <f t="shared" si="82"/>
        <v>7.173</v>
      </c>
      <c r="G157" s="390">
        <f t="shared" si="82"/>
        <v>7.599000000000001</v>
      </c>
      <c r="H157" s="390">
        <f t="shared" si="82"/>
        <v>8.022</v>
      </c>
      <c r="I157" s="390">
        <f t="shared" si="82"/>
        <v>8.440999999999999</v>
      </c>
      <c r="J157" s="390">
        <f t="shared" si="82"/>
        <v>8.851999999999999</v>
      </c>
      <c r="K157" s="299">
        <f t="shared" si="82"/>
        <v>9.257411604744867</v>
      </c>
      <c r="L157" s="299">
        <f t="shared" si="82"/>
        <v>9.65930992712406</v>
      </c>
      <c r="M157" s="299">
        <f t="shared" si="82"/>
        <v>10.05619783937826</v>
      </c>
      <c r="N157" s="299">
        <f t="shared" si="82"/>
        <v>10.44369313351828</v>
      </c>
      <c r="O157" s="299">
        <f t="shared" si="82"/>
        <v>10.8223124071786</v>
      </c>
      <c r="P157" s="299">
        <f t="shared" si="82"/>
        <v>11.194299481365034</v>
      </c>
      <c r="Q157" s="299">
        <f t="shared" si="82"/>
        <v>11.557560127700686</v>
      </c>
      <c r="R157" s="299">
        <f t="shared" si="82"/>
        <v>11.910939357488157</v>
      </c>
      <c r="S157" s="299">
        <f t="shared" si="82"/>
        <v>12.252379746962445</v>
      </c>
      <c r="T157" s="299">
        <f t="shared" si="82"/>
        <v>12.580252921732828</v>
      </c>
      <c r="V157" s="58"/>
      <c r="W157" s="58"/>
      <c r="X157" s="58"/>
      <c r="Y157" s="58"/>
    </row>
    <row r="158" spans="1:25" s="304" customFormat="1" ht="12.75">
      <c r="A158" s="382"/>
      <c r="B158" s="297"/>
      <c r="C158" s="247"/>
      <c r="D158" s="247"/>
      <c r="E158" s="247"/>
      <c r="F158" s="390"/>
      <c r="G158" s="390"/>
      <c r="H158" s="390"/>
      <c r="I158" s="390"/>
      <c r="J158" s="390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V158" s="58"/>
      <c r="W158" s="58"/>
      <c r="X158" s="58"/>
      <c r="Y158" s="58"/>
    </row>
    <row r="159" spans="1:25" s="304" customFormat="1" ht="12.75">
      <c r="A159" s="394" t="s">
        <v>812</v>
      </c>
      <c r="B159" s="299"/>
      <c r="C159" s="247"/>
      <c r="D159" s="425"/>
      <c r="E159" s="425"/>
      <c r="F159" s="390"/>
      <c r="G159" s="390"/>
      <c r="H159" s="390"/>
      <c r="I159" s="390"/>
      <c r="J159" s="390"/>
      <c r="K159" s="396"/>
      <c r="L159" s="396"/>
      <c r="M159" s="396"/>
      <c r="N159" s="396"/>
      <c r="O159" s="396"/>
      <c r="P159" s="396"/>
      <c r="Q159" s="396"/>
      <c r="R159" s="396"/>
      <c r="S159" s="360"/>
      <c r="T159" s="360"/>
      <c r="V159" s="58"/>
      <c r="W159" s="58"/>
      <c r="X159" s="58"/>
      <c r="Y159" s="58"/>
    </row>
    <row r="160" spans="1:25" s="304" customFormat="1" ht="12.75">
      <c r="A160" s="302" t="s">
        <v>949</v>
      </c>
      <c r="B160" s="299"/>
      <c r="C160" s="247"/>
      <c r="D160" s="247">
        <f>Data!C$201</f>
        <v>1.3383470000000002</v>
      </c>
      <c r="E160" s="247">
        <f>Data!D$201</f>
        <v>0.53806</v>
      </c>
      <c r="F160" s="224">
        <f>Data!E$201</f>
        <v>0.771733</v>
      </c>
      <c r="G160" s="224">
        <f>Data!F$201</f>
        <v>1.495438</v>
      </c>
      <c r="H160" s="224">
        <f>Data!G$201</f>
        <v>1.821384</v>
      </c>
      <c r="I160" s="224">
        <f>Data!H$201</f>
        <v>2.156039</v>
      </c>
      <c r="J160" s="224">
        <f>Data!I$201</f>
        <v>2.490901</v>
      </c>
      <c r="K160" s="303">
        <f>J$160*(1+K$215)</f>
        <v>2.5462168915385215</v>
      </c>
      <c r="L160" s="303">
        <f aca="true" t="shared" si="83" ref="L160:T160">K$160*(1+L$215)</f>
        <v>2.5976687593579153</v>
      </c>
      <c r="M160" s="303">
        <f t="shared" si="83"/>
        <v>2.6496221345450737</v>
      </c>
      <c r="N160" s="303">
        <f t="shared" si="83"/>
        <v>2.702614577235975</v>
      </c>
      <c r="O160" s="303">
        <f t="shared" si="83"/>
        <v>2.7566668687806946</v>
      </c>
      <c r="P160" s="303">
        <f t="shared" si="83"/>
        <v>2.8118002061563083</v>
      </c>
      <c r="Q160" s="303">
        <f t="shared" si="83"/>
        <v>2.8680362102794343</v>
      </c>
      <c r="R160" s="303">
        <f t="shared" si="83"/>
        <v>2.9253969344850232</v>
      </c>
      <c r="S160" s="303">
        <f t="shared" si="83"/>
        <v>2.983904873174724</v>
      </c>
      <c r="T160" s="303">
        <f t="shared" si="83"/>
        <v>3.0435829706382185</v>
      </c>
      <c r="V160" s="139"/>
      <c r="W160" s="139"/>
      <c r="X160" s="139"/>
      <c r="Y160" s="139"/>
    </row>
    <row r="161" spans="1:25" s="304" customFormat="1" ht="12.75">
      <c r="A161" s="302" t="s">
        <v>948</v>
      </c>
      <c r="C161" s="387"/>
      <c r="D161" s="247">
        <f>Data!C198-D157</f>
        <v>4.324000000000001</v>
      </c>
      <c r="E161" s="247">
        <f>Data!D198-E157</f>
        <v>4.285</v>
      </c>
      <c r="F161" s="224">
        <f>Data!E198-F157</f>
        <v>4.765000000000001</v>
      </c>
      <c r="G161" s="224">
        <f>Data!F198-G157</f>
        <v>4.737999999999999</v>
      </c>
      <c r="H161" s="224">
        <f>Data!G198-H157</f>
        <v>4.949</v>
      </c>
      <c r="I161" s="224">
        <f>Data!H198-I157</f>
        <v>4.974</v>
      </c>
      <c r="J161" s="224">
        <f>Data!I198-J157</f>
        <v>5.030000000000001</v>
      </c>
      <c r="K161" s="303">
        <f aca="true" t="shared" si="84" ref="K161:T161">J$161*(1+K$215)</f>
        <v>5.141702124829035</v>
      </c>
      <c r="L161" s="303">
        <f t="shared" si="84"/>
        <v>5.245601434810263</v>
      </c>
      <c r="M161" s="303">
        <f t="shared" si="84"/>
        <v>5.350513463506468</v>
      </c>
      <c r="N161" s="303">
        <f t="shared" si="84"/>
        <v>5.457523732776598</v>
      </c>
      <c r="O161" s="303">
        <f t="shared" si="84"/>
        <v>5.56667420743213</v>
      </c>
      <c r="P161" s="303">
        <f t="shared" si="84"/>
        <v>5.678007691580773</v>
      </c>
      <c r="Q161" s="303">
        <f t="shared" si="84"/>
        <v>5.791567845412389</v>
      </c>
      <c r="R161" s="303">
        <f t="shared" si="84"/>
        <v>5.9073992023206365</v>
      </c>
      <c r="S161" s="303">
        <f t="shared" si="84"/>
        <v>6.025547186367049</v>
      </c>
      <c r="T161" s="303">
        <f t="shared" si="84"/>
        <v>6.14605813009439</v>
      </c>
      <c r="V161" s="139"/>
      <c r="W161" s="139"/>
      <c r="X161" s="139"/>
      <c r="Y161" s="139"/>
    </row>
    <row r="162" spans="1:25" s="304" customFormat="1" ht="12.75">
      <c r="A162" s="302" t="s">
        <v>952</v>
      </c>
      <c r="C162" s="387"/>
      <c r="D162" s="247">
        <f>Data!C$116</f>
        <v>-0.22034699999999996</v>
      </c>
      <c r="E162" s="247">
        <f>Data!D$116</f>
        <v>0.334</v>
      </c>
      <c r="F162" s="224">
        <f>Data!E$116</f>
        <v>0.575267</v>
      </c>
      <c r="G162" s="224">
        <f>Data!F$116</f>
        <v>0.5755620000000001</v>
      </c>
      <c r="H162" s="224">
        <f>Data!G$116</f>
        <v>0.578616</v>
      </c>
      <c r="I162" s="224">
        <f>Data!H$116</f>
        <v>0.5849610000000003</v>
      </c>
      <c r="J162" s="224">
        <f>Data!I$116</f>
        <v>0.585099</v>
      </c>
      <c r="K162" s="303">
        <f aca="true" t="shared" si="85" ref="K162:S162">J162</f>
        <v>0.585099</v>
      </c>
      <c r="L162" s="303">
        <f t="shared" si="85"/>
        <v>0.585099</v>
      </c>
      <c r="M162" s="303">
        <f t="shared" si="85"/>
        <v>0.585099</v>
      </c>
      <c r="N162" s="303">
        <f t="shared" si="85"/>
        <v>0.585099</v>
      </c>
      <c r="O162" s="303">
        <f t="shared" si="85"/>
        <v>0.585099</v>
      </c>
      <c r="P162" s="303">
        <f t="shared" si="85"/>
        <v>0.585099</v>
      </c>
      <c r="Q162" s="303">
        <f t="shared" si="85"/>
        <v>0.585099</v>
      </c>
      <c r="R162" s="303">
        <f t="shared" si="85"/>
        <v>0.585099</v>
      </c>
      <c r="S162" s="303">
        <f t="shared" si="85"/>
        <v>0.585099</v>
      </c>
      <c r="T162" s="303">
        <f>S162</f>
        <v>0.585099</v>
      </c>
      <c r="V162" s="58"/>
      <c r="W162" s="58"/>
      <c r="X162" s="58"/>
      <c r="Y162" s="58"/>
    </row>
    <row r="163" spans="1:25" s="304" customFormat="1" ht="12.75">
      <c r="A163" s="382" t="s">
        <v>804</v>
      </c>
      <c r="B163" s="297"/>
      <c r="C163" s="247"/>
      <c r="D163" s="141">
        <f aca="true" t="shared" si="86" ref="D163:J163">SUM(D160,D161,D162)</f>
        <v>5.442</v>
      </c>
      <c r="E163" s="141">
        <f t="shared" si="86"/>
        <v>5.1570599999999995</v>
      </c>
      <c r="F163" s="390">
        <f t="shared" si="86"/>
        <v>6.112000000000001</v>
      </c>
      <c r="G163" s="390">
        <f t="shared" si="86"/>
        <v>6.808999999999999</v>
      </c>
      <c r="H163" s="390">
        <f t="shared" si="86"/>
        <v>7.349</v>
      </c>
      <c r="I163" s="390">
        <f t="shared" si="86"/>
        <v>7.715</v>
      </c>
      <c r="J163" s="390">
        <f t="shared" si="86"/>
        <v>8.106000000000002</v>
      </c>
      <c r="K163" s="148">
        <f>SUM(K160,K161,K162)</f>
        <v>8.273018016367557</v>
      </c>
      <c r="L163" s="148">
        <f>SUM(L160,L161,L162)</f>
        <v>8.428369194168178</v>
      </c>
      <c r="M163" s="148">
        <f aca="true" t="shared" si="87" ref="M163:T163">SUM(M160,M161,M162)</f>
        <v>8.585234598051542</v>
      </c>
      <c r="N163" s="148">
        <f t="shared" si="87"/>
        <v>8.745237310012573</v>
      </c>
      <c r="O163" s="148">
        <f t="shared" si="87"/>
        <v>8.908440076212823</v>
      </c>
      <c r="P163" s="148">
        <f t="shared" si="87"/>
        <v>9.074906897737081</v>
      </c>
      <c r="Q163" s="148">
        <f t="shared" si="87"/>
        <v>9.244703055691822</v>
      </c>
      <c r="R163" s="148">
        <f t="shared" si="87"/>
        <v>9.41789513680566</v>
      </c>
      <c r="S163" s="148">
        <f t="shared" si="87"/>
        <v>9.594551059541773</v>
      </c>
      <c r="T163" s="148">
        <f t="shared" si="87"/>
        <v>9.774740100732608</v>
      </c>
      <c r="V163" s="58"/>
      <c r="W163" s="58"/>
      <c r="X163" s="58"/>
      <c r="Y163" s="58"/>
    </row>
    <row r="164" spans="1:25" s="304" customFormat="1" ht="12.75">
      <c r="A164" s="391" t="s">
        <v>220</v>
      </c>
      <c r="B164" s="297"/>
      <c r="C164" s="247"/>
      <c r="D164" s="247">
        <f>Data!C63</f>
        <v>13.581</v>
      </c>
      <c r="E164" s="247">
        <f>Data!D63</f>
        <v>12.964</v>
      </c>
      <c r="F164" s="224">
        <f>Data!E63</f>
        <v>8.5</v>
      </c>
      <c r="G164" s="224">
        <f>Data!F63</f>
        <v>9.5</v>
      </c>
      <c r="H164" s="224">
        <f>Data!G63</f>
        <v>10</v>
      </c>
      <c r="I164" s="224">
        <f>Data!H63</f>
        <v>10</v>
      </c>
      <c r="J164" s="224">
        <f>Data!I63</f>
        <v>10</v>
      </c>
      <c r="K164" s="303">
        <f aca="true" t="shared" si="88" ref="K164:S164">J164</f>
        <v>10</v>
      </c>
      <c r="L164" s="303">
        <f t="shared" si="88"/>
        <v>10</v>
      </c>
      <c r="M164" s="303">
        <f t="shared" si="88"/>
        <v>10</v>
      </c>
      <c r="N164" s="303">
        <f t="shared" si="88"/>
        <v>10</v>
      </c>
      <c r="O164" s="303">
        <f t="shared" si="88"/>
        <v>10</v>
      </c>
      <c r="P164" s="303">
        <f t="shared" si="88"/>
        <v>10</v>
      </c>
      <c r="Q164" s="303">
        <f t="shared" si="88"/>
        <v>10</v>
      </c>
      <c r="R164" s="303">
        <f t="shared" si="88"/>
        <v>10</v>
      </c>
      <c r="S164" s="303">
        <f t="shared" si="88"/>
        <v>10</v>
      </c>
      <c r="T164" s="303">
        <f>S164</f>
        <v>10</v>
      </c>
      <c r="V164" s="58"/>
      <c r="W164" s="58"/>
      <c r="X164" s="58"/>
      <c r="Y164" s="58"/>
    </row>
    <row r="165" spans="1:25" s="304" customFormat="1" ht="12.75">
      <c r="A165" s="391" t="s">
        <v>207</v>
      </c>
      <c r="B165" s="297"/>
      <c r="C165" s="247"/>
      <c r="D165" s="247">
        <f>SUM(Data!C$60,Data!C$65)-D$157-D$163</f>
        <v>0.8659999999999988</v>
      </c>
      <c r="E165" s="247">
        <f>SUM(Data!D$60,Data!D$65)-E$157-E$163</f>
        <v>0.020939999999999515</v>
      </c>
      <c r="F165" s="224">
        <f>SUM(Data!E$60,Data!E$65)-F$157-F$163</f>
        <v>1.0610000000000008</v>
      </c>
      <c r="G165" s="224">
        <f>SUM(Data!F$60,Data!F$65)-G$157-G$163</f>
        <v>1.137999999999999</v>
      </c>
      <c r="H165" s="224">
        <f>SUM(Data!G$60,Data!G$65)-H$157-H$163</f>
        <v>0.8559999999999999</v>
      </c>
      <c r="I165" s="224">
        <f>SUM(Data!H$60,Data!H$65)-I$157-I$163</f>
        <v>1.1189999999999998</v>
      </c>
      <c r="J165" s="224">
        <f>SUM(Data!I$60,Data!I$65)-J$157-J$163</f>
        <v>1.4900000000000002</v>
      </c>
      <c r="K165" s="303">
        <f aca="true" t="shared" si="89" ref="K165:T165">J165*(1+K212)</f>
        <v>1.554075134298033</v>
      </c>
      <c r="L165" s="303">
        <f t="shared" si="89"/>
        <v>1.6158357186892618</v>
      </c>
      <c r="M165" s="303">
        <f t="shared" si="89"/>
        <v>1.685901388166829</v>
      </c>
      <c r="N165" s="303">
        <f t="shared" si="89"/>
        <v>1.7654855200811357</v>
      </c>
      <c r="O165" s="303">
        <f t="shared" si="89"/>
        <v>1.8467645597777995</v>
      </c>
      <c r="P165" s="303">
        <f t="shared" si="89"/>
        <v>1.9297765682944403</v>
      </c>
      <c r="Q165" s="303">
        <f t="shared" si="89"/>
        <v>2.014717011737979</v>
      </c>
      <c r="R165" s="303">
        <f t="shared" si="89"/>
        <v>2.101565908720262</v>
      </c>
      <c r="S165" s="303">
        <f t="shared" si="89"/>
        <v>2.1912670355434827</v>
      </c>
      <c r="T165" s="303">
        <f t="shared" si="89"/>
        <v>2.281260739199879</v>
      </c>
      <c r="V165" s="58"/>
      <c r="W165" s="58"/>
      <c r="X165" s="58"/>
      <c r="Y165" s="58"/>
    </row>
    <row r="166" spans="1:25" s="304" customFormat="1" ht="12.75">
      <c r="A166" s="382" t="s">
        <v>217</v>
      </c>
      <c r="B166" s="297"/>
      <c r="C166" s="247"/>
      <c r="D166" s="141">
        <f aca="true" t="shared" si="90" ref="D166:I166">SUM(D163:D165)</f>
        <v>19.889</v>
      </c>
      <c r="E166" s="141">
        <f t="shared" si="90"/>
        <v>18.142</v>
      </c>
      <c r="F166" s="390">
        <f t="shared" si="90"/>
        <v>15.673000000000002</v>
      </c>
      <c r="G166" s="390">
        <f t="shared" si="90"/>
        <v>17.446999999999996</v>
      </c>
      <c r="H166" s="390">
        <f t="shared" si="90"/>
        <v>18.205</v>
      </c>
      <c r="I166" s="390">
        <f t="shared" si="90"/>
        <v>18.834</v>
      </c>
      <c r="J166" s="390">
        <f>SUM(J163:J165)</f>
        <v>19.596000000000004</v>
      </c>
      <c r="K166" s="148">
        <f aca="true" t="shared" si="91" ref="K166:T166">SUM(K163:K165)</f>
        <v>19.82709315066559</v>
      </c>
      <c r="L166" s="148">
        <f t="shared" si="91"/>
        <v>20.044204912857438</v>
      </c>
      <c r="M166" s="148">
        <f t="shared" si="91"/>
        <v>20.271135986218372</v>
      </c>
      <c r="N166" s="148">
        <f t="shared" si="91"/>
        <v>20.51072283009371</v>
      </c>
      <c r="O166" s="148">
        <f t="shared" si="91"/>
        <v>20.755204635990623</v>
      </c>
      <c r="P166" s="148">
        <f>SUM(P163:P165)</f>
        <v>21.00468346603152</v>
      </c>
      <c r="Q166" s="148">
        <f t="shared" si="91"/>
        <v>21.2594200674298</v>
      </c>
      <c r="R166" s="148">
        <f t="shared" si="91"/>
        <v>21.519461045525922</v>
      </c>
      <c r="S166" s="148">
        <f t="shared" si="91"/>
        <v>21.785818095085254</v>
      </c>
      <c r="T166" s="148">
        <f t="shared" si="91"/>
        <v>22.056000839932487</v>
      </c>
      <c r="V166" s="58"/>
      <c r="W166" s="58"/>
      <c r="X166" s="58"/>
      <c r="Y166" s="58"/>
    </row>
    <row r="167" spans="1:25" s="304" customFormat="1" ht="12.75">
      <c r="A167" s="382" t="s">
        <v>876</v>
      </c>
      <c r="B167" s="299"/>
      <c r="C167" s="247"/>
      <c r="D167" s="141">
        <f>Data!C$117</f>
        <v>7.59</v>
      </c>
      <c r="E167" s="141">
        <f>Data!D$117</f>
        <v>9.189</v>
      </c>
      <c r="F167" s="390">
        <f>Data!E$117</f>
        <v>9.376</v>
      </c>
      <c r="G167" s="390">
        <f>Data!F$117</f>
        <v>9.295</v>
      </c>
      <c r="H167" s="390">
        <f>Data!G$117</f>
        <v>9.116</v>
      </c>
      <c r="I167" s="390">
        <f>Data!H$117</f>
        <v>8.967</v>
      </c>
      <c r="J167" s="390">
        <f>Data!I$117</f>
        <v>8.87</v>
      </c>
      <c r="K167" s="148">
        <f aca="true" t="shared" si="92" ref="K167:T167">J$167*(1+K$215)</f>
        <v>9.06697770322734</v>
      </c>
      <c r="L167" s="148">
        <f t="shared" si="92"/>
        <v>9.250195770729029</v>
      </c>
      <c r="M167" s="148">
        <f t="shared" si="92"/>
        <v>9.43519968614361</v>
      </c>
      <c r="N167" s="148">
        <f t="shared" si="92"/>
        <v>9.623903679866483</v>
      </c>
      <c r="O167" s="148">
        <f t="shared" si="92"/>
        <v>9.816381753463814</v>
      </c>
      <c r="P167" s="148">
        <f t="shared" si="92"/>
        <v>10.012709388533091</v>
      </c>
      <c r="Q167" s="148">
        <f t="shared" si="92"/>
        <v>10.212963576303753</v>
      </c>
      <c r="R167" s="148">
        <f t="shared" si="92"/>
        <v>10.417222847829828</v>
      </c>
      <c r="S167" s="148">
        <f t="shared" si="92"/>
        <v>10.625567304786426</v>
      </c>
      <c r="T167" s="148">
        <f t="shared" si="92"/>
        <v>10.838078650882155</v>
      </c>
      <c r="V167" s="58"/>
      <c r="W167" s="58"/>
      <c r="X167" s="58"/>
      <c r="Y167" s="58"/>
    </row>
    <row r="168" spans="1:25" s="304" customFormat="1" ht="12.75">
      <c r="A168" s="382" t="s">
        <v>883</v>
      </c>
      <c r="B168" s="299"/>
      <c r="C168" s="247"/>
      <c r="D168" s="141">
        <f>Data!C$61</f>
        <v>12.058</v>
      </c>
      <c r="E168" s="141">
        <f>Data!D$61</f>
        <v>14.158</v>
      </c>
      <c r="F168" s="390">
        <f>Data!E$61</f>
        <v>14.479</v>
      </c>
      <c r="G168" s="390">
        <f>Data!F$61</f>
        <v>14.889</v>
      </c>
      <c r="H168" s="390">
        <f>Data!G$61</f>
        <v>14.941</v>
      </c>
      <c r="I168" s="390">
        <f>Data!H$61</f>
        <v>14.908</v>
      </c>
      <c r="J168" s="390">
        <f>Data!I$61</f>
        <v>15.135</v>
      </c>
      <c r="K168" s="148">
        <f aca="true" t="shared" si="93" ref="K168:T168">J$168*(1+K$215)</f>
        <v>15.471105697671454</v>
      </c>
      <c r="L168" s="148">
        <f t="shared" si="93"/>
        <v>15.783733144304831</v>
      </c>
      <c r="M168" s="148">
        <f t="shared" si="93"/>
        <v>16.09940780719093</v>
      </c>
      <c r="N168" s="148">
        <f t="shared" si="93"/>
        <v>16.421395963334746</v>
      </c>
      <c r="O168" s="148">
        <f t="shared" si="93"/>
        <v>16.74982388260144</v>
      </c>
      <c r="P168" s="148">
        <f t="shared" si="93"/>
        <v>17.08482036025347</v>
      </c>
      <c r="Q168" s="148">
        <f t="shared" si="93"/>
        <v>17.42651676745854</v>
      </c>
      <c r="R168" s="148">
        <f t="shared" si="93"/>
        <v>17.77504710280771</v>
      </c>
      <c r="S168" s="148">
        <f t="shared" si="93"/>
        <v>18.130548044863865</v>
      </c>
      <c r="T168" s="148">
        <f t="shared" si="93"/>
        <v>18.493159005761143</v>
      </c>
      <c r="V168" s="58"/>
      <c r="W168" s="58"/>
      <c r="X168" s="58"/>
      <c r="Y168" s="58"/>
    </row>
    <row r="169" spans="1:25" s="304" customFormat="1" ht="12.75">
      <c r="A169" s="426"/>
      <c r="B169" s="299"/>
      <c r="C169" s="247"/>
      <c r="D169" s="425"/>
      <c r="E169" s="425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V169" s="58"/>
      <c r="W169" s="58"/>
      <c r="X169" s="58"/>
      <c r="Y169" s="58"/>
    </row>
    <row r="170" spans="1:25" s="304" customFormat="1" ht="12.75">
      <c r="A170" s="394" t="s">
        <v>151</v>
      </c>
      <c r="B170" s="299"/>
      <c r="C170" s="247"/>
      <c r="D170" s="247"/>
      <c r="E170" s="247"/>
      <c r="F170" s="297"/>
      <c r="G170" s="297"/>
      <c r="H170" s="297"/>
      <c r="I170" s="297"/>
      <c r="J170" s="297"/>
      <c r="V170" s="58"/>
      <c r="W170" s="58"/>
      <c r="X170" s="58"/>
      <c r="Y170" s="58"/>
    </row>
    <row r="171" spans="1:25" s="304" customFormat="1" ht="12.75">
      <c r="A171" s="382" t="s">
        <v>644</v>
      </c>
      <c r="B171" s="297"/>
      <c r="C171" s="247"/>
      <c r="D171" s="141">
        <f ca="1">Data!C$119+IF(OFFSET(Scenarios!$A$65,0,$C$1)="Yes",D$176,0)</f>
        <v>26.213</v>
      </c>
      <c r="E171" s="141">
        <f ca="1">Data!D$119+IF(OFFSET(Scenarios!$A$65,0,$C$1)="Yes",E$176,0)</f>
        <v>28.637</v>
      </c>
      <c r="F171" s="390">
        <f ca="1">Data!E$119+IF(OFFSET(Scenarios!$A$65,0,$C$1)="Yes",F$176,0)</f>
        <v>29.236</v>
      </c>
      <c r="G171" s="390">
        <f ca="1">Data!F$119+IF(OFFSET(Scenarios!$A$65,0,$C$1)="Yes",G$176,0)</f>
        <v>29.542</v>
      </c>
      <c r="H171" s="390">
        <f ca="1">Data!G$119+IF(OFFSET(Scenarios!$A$65,0,$C$1)="Yes",H$176,0)</f>
        <v>29.497</v>
      </c>
      <c r="I171" s="390">
        <f ca="1">Data!H$119+IF(OFFSET(Scenarios!$A$65,0,$C$1)="Yes",I$176,0)</f>
        <v>29.256</v>
      </c>
      <c r="J171" s="390">
        <f ca="1">Data!I$119+IF(OFFSET(Scenarios!$A$65,0,$C$1)="Yes",J$176,0)</f>
        <v>29.085</v>
      </c>
      <c r="K171" s="148">
        <f ca="1">J$171+IF(OFFSET(Scenarios!$A$65,0,$C$1)="Yes",(K$176-J$176),0)</f>
        <v>29.085</v>
      </c>
      <c r="L171" s="148">
        <f ca="1">K$171+IF(OFFSET(Scenarios!$A$65,0,$C$1)="Yes",(L$176-K$176),0)</f>
        <v>29.085</v>
      </c>
      <c r="M171" s="148">
        <f ca="1">L$171+IF(OFFSET(Scenarios!$A$65,0,$C$1)="Yes",(M$176-L$176),0)</f>
        <v>29.085</v>
      </c>
      <c r="N171" s="148">
        <f ca="1">M$171+IF(OFFSET(Scenarios!$A$65,0,$C$1)="Yes",(N$176-M$176),0)</f>
        <v>29.085</v>
      </c>
      <c r="O171" s="148">
        <f ca="1">N$171+IF(OFFSET(Scenarios!$A$65,0,$C$1)="Yes",(O$176-N$176),0)</f>
        <v>29.085</v>
      </c>
      <c r="P171" s="148">
        <f ca="1">O$171+IF(OFFSET(Scenarios!$A$65,0,$C$1)="Yes",(P$176-O$176),0)</f>
        <v>29.085</v>
      </c>
      <c r="Q171" s="148">
        <f ca="1">P$171+IF(OFFSET(Scenarios!$A$65,0,$C$1)="Yes",(Q$176-P$176),0)</f>
        <v>29.085</v>
      </c>
      <c r="R171" s="148">
        <f ca="1">Q$171+IF(OFFSET(Scenarios!$A$65,0,$C$1)="Yes",(R$176-Q$176),0)</f>
        <v>29.085</v>
      </c>
      <c r="S171" s="148">
        <f ca="1">R$171+IF(OFFSET(Scenarios!$A$65,0,$C$1)="Yes",(S$176-R$176),0)</f>
        <v>29.085</v>
      </c>
      <c r="T171" s="148">
        <f ca="1">S$171+IF(OFFSET(Scenarios!$A$65,0,$C$1)="Yes",(T$176-S$176),0)</f>
        <v>29.085</v>
      </c>
      <c r="V171" s="58"/>
      <c r="W171" s="58"/>
      <c r="X171" s="58"/>
      <c r="Y171" s="58"/>
    </row>
    <row r="172" spans="1:25" s="304" customFormat="1" ht="12.75">
      <c r="A172" s="389" t="s">
        <v>150</v>
      </c>
      <c r="B172" s="299"/>
      <c r="C172" s="247"/>
      <c r="D172" s="247">
        <f>SUM(Data!C$120,Data!C$121)</f>
        <v>69.385</v>
      </c>
      <c r="E172" s="247">
        <f>SUM(Data!D$120,Data!D$121)</f>
        <v>74.69200000000001</v>
      </c>
      <c r="F172" s="224">
        <f>SUM(Data!E$120,Data!E$121)</f>
        <v>78.65899999999999</v>
      </c>
      <c r="G172" s="224">
        <f>SUM(Data!F$120,Data!F$121)</f>
        <v>80.856</v>
      </c>
      <c r="H172" s="224">
        <f>SUM(Data!G$120,Data!G$121)</f>
        <v>83.28200000000001</v>
      </c>
      <c r="I172" s="224">
        <f>SUM(Data!H$120,Data!H$121)</f>
        <v>85.245</v>
      </c>
      <c r="J172" s="224">
        <f>SUM(Data!I$120,Data!I$121)</f>
        <v>87.858</v>
      </c>
      <c r="K172" s="303">
        <f aca="true" t="shared" si="94" ref="K172:T172">J$172+(K$27-K$34-J$27+J$34)+(K$28-K$35-J$28+J$35)+(K$16-K$23)-SUM(K$145,K$146,-K$147,K$166-K$163,K$168-K$167,K$183-K$182)+SUM(J$145,J$146,-J$147,J$166-J$163,J$168-J$167,J$183-J$182)</f>
        <v>89.8793680213671</v>
      </c>
      <c r="L172" s="303">
        <f t="shared" si="94"/>
        <v>92.51298604896516</v>
      </c>
      <c r="M172" s="303">
        <f t="shared" si="94"/>
        <v>95.44549678141712</v>
      </c>
      <c r="N172" s="303">
        <f t="shared" si="94"/>
        <v>98.71328103524773</v>
      </c>
      <c r="O172" s="303">
        <f t="shared" si="94"/>
        <v>102.21159169372271</v>
      </c>
      <c r="P172" s="303">
        <f t="shared" si="94"/>
        <v>105.94812729866811</v>
      </c>
      <c r="Q172" s="303">
        <f t="shared" si="94"/>
        <v>109.93536666784435</v>
      </c>
      <c r="R172" s="303">
        <f t="shared" si="94"/>
        <v>114.18123209231257</v>
      </c>
      <c r="S172" s="303">
        <f t="shared" si="94"/>
        <v>118.70849137420059</v>
      </c>
      <c r="T172" s="303">
        <f t="shared" si="94"/>
        <v>123.48714097075131</v>
      </c>
      <c r="V172" s="58"/>
      <c r="W172" s="58"/>
      <c r="X172" s="58"/>
      <c r="Y172" s="58"/>
    </row>
    <row r="173" spans="1:25" s="304" customFormat="1" ht="12.75">
      <c r="A173" s="382" t="s">
        <v>645</v>
      </c>
      <c r="B173" s="299"/>
      <c r="C173" s="247"/>
      <c r="D173" s="141">
        <f aca="true" t="shared" si="95" ref="D173:T173">SUM(D$171,D$172)</f>
        <v>95.59800000000001</v>
      </c>
      <c r="E173" s="141">
        <f t="shared" si="95"/>
        <v>103.32900000000001</v>
      </c>
      <c r="F173" s="390">
        <f t="shared" si="95"/>
        <v>107.895</v>
      </c>
      <c r="G173" s="390">
        <f t="shared" si="95"/>
        <v>110.398</v>
      </c>
      <c r="H173" s="390">
        <f t="shared" si="95"/>
        <v>112.77900000000001</v>
      </c>
      <c r="I173" s="390">
        <f t="shared" si="95"/>
        <v>114.501</v>
      </c>
      <c r="J173" s="390">
        <f t="shared" si="95"/>
        <v>116.94300000000001</v>
      </c>
      <c r="K173" s="148">
        <f t="shared" si="95"/>
        <v>118.96436802136711</v>
      </c>
      <c r="L173" s="148">
        <f t="shared" si="95"/>
        <v>121.59798604896517</v>
      </c>
      <c r="M173" s="148">
        <f t="shared" si="95"/>
        <v>124.53049678141713</v>
      </c>
      <c r="N173" s="148">
        <f t="shared" si="95"/>
        <v>127.79828103524773</v>
      </c>
      <c r="O173" s="148">
        <f t="shared" si="95"/>
        <v>131.29659169372272</v>
      </c>
      <c r="P173" s="148">
        <f t="shared" si="95"/>
        <v>135.03312729866812</v>
      </c>
      <c r="Q173" s="148">
        <f t="shared" si="95"/>
        <v>139.02036666784434</v>
      </c>
      <c r="R173" s="148">
        <f t="shared" si="95"/>
        <v>143.26623209231258</v>
      </c>
      <c r="S173" s="148">
        <f t="shared" si="95"/>
        <v>147.79349137420058</v>
      </c>
      <c r="T173" s="148">
        <f t="shared" si="95"/>
        <v>152.57214097075132</v>
      </c>
      <c r="V173" s="58"/>
      <c r="W173" s="58"/>
      <c r="X173" s="58"/>
      <c r="Y173" s="58"/>
    </row>
    <row r="174" spans="1:25" s="304" customFormat="1" ht="12.75">
      <c r="A174" s="382"/>
      <c r="B174" s="299"/>
      <c r="C174" s="247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V174" s="58"/>
      <c r="W174" s="58"/>
      <c r="X174" s="58"/>
      <c r="Y174" s="58"/>
    </row>
    <row r="175" spans="1:25" s="304" customFormat="1" ht="12.75">
      <c r="A175" s="394" t="s">
        <v>152</v>
      </c>
      <c r="C175" s="247"/>
      <c r="D175" s="141">
        <f ca="1">IF(OFFSET(Scenarios!$A$65,0,$C$1)="Yes",0,D$176-C$176)</f>
        <v>0</v>
      </c>
      <c r="E175" s="141">
        <f ca="1">IF(OFFSET(Scenarios!$A$65,0,$C$1)="Yes",0,E$176-D$176)</f>
        <v>0</v>
      </c>
      <c r="F175" s="390">
        <f ca="1">IF(OFFSET(Scenarios!$A$65,0,$C$1)="Yes",0,F$176-E$176)</f>
        <v>0.184</v>
      </c>
      <c r="G175" s="390">
        <f ca="1">IF(OFFSET(Scenarios!$A$65,0,$C$1)="Yes",0,G$176-F$176)</f>
        <v>0.601</v>
      </c>
      <c r="H175" s="390">
        <f ca="1">IF(OFFSET(Scenarios!$A$65,0,$C$1)="Yes",0,H$176-G$176)</f>
        <v>0.777</v>
      </c>
      <c r="I175" s="390">
        <f ca="1">IF(OFFSET(Scenarios!$A$65,0,$C$1)="Yes",0,I$176-H$176)</f>
        <v>0.9000000000000001</v>
      </c>
      <c r="J175" s="390">
        <f ca="1">IF(OFFSET(Scenarios!$A$65,0,$C$1)="Yes",0,J$176-I$176)</f>
        <v>0.863</v>
      </c>
      <c r="K175" s="148">
        <f ca="1">IF(OFFSET(Scenarios!$A$65,0,$C$1)="Yes",0,IF(K$1="Proj Yr1",OFFSET(Scenarios!$A$32,0,$C$1),J$175*(1+IF(OFFSET(Scenarios!$A$36,0,$C$1)="GDP",K$212,IF(OFFSET(Scenarios!$A$36,0,$C$1)="CPI",K$215,0)))))</f>
        <v>0.9</v>
      </c>
      <c r="L175" s="148">
        <f ca="1">IF(OFFSET(Scenarios!$A$65,0,$C$1)="Yes",0,IF(L$1="Proj Yr1",OFFSET(Scenarios!$A$32,0,$C$1),K$175*(1+IF(OFFSET(Scenarios!$A$36,0,$C$1)="GDP",L$212,IF(OFFSET(Scenarios!$A$36,0,$C$1)="CPI",L$215,0)))))</f>
        <v>0.9181864636871033</v>
      </c>
      <c r="M175" s="148">
        <f ca="1">IF(OFFSET(Scenarios!$A$65,0,$C$1)="Yes",0,IF(M$1="Proj Yr1",OFFSET(Scenarios!$A$32,0,$C$1),L$175*(1+IF(OFFSET(Scenarios!$A$36,0,$C$1)="GDP",M$212,IF(OFFSET(Scenarios!$A$36,0,$C$1)="CPI",M$215,0)))))</f>
        <v>0.9365501929608454</v>
      </c>
      <c r="N175" s="148">
        <f ca="1">IF(OFFSET(Scenarios!$A$65,0,$C$1)="Yes",0,IF(N$1="Proj Yr1",OFFSET(Scenarios!$A$32,0,$C$1),M$175*(1+IF(OFFSET(Scenarios!$A$36,0,$C$1)="GDP",N$212,IF(OFFSET(Scenarios!$A$36,0,$C$1)="CPI",N$215,0)))))</f>
        <v>0.9552811968200623</v>
      </c>
      <c r="O175" s="148">
        <f ca="1">IF(OFFSET(Scenarios!$A$65,0,$C$1)="Yes",0,IF(O$1="Proj Yr1",OFFSET(Scenarios!$A$32,0,$C$1),N$175*(1+IF(OFFSET(Scenarios!$A$36,0,$C$1)="GDP",O$212,IF(OFFSET(Scenarios!$A$36,0,$C$1)="CPI",O$215,0)))))</f>
        <v>0.9743868207564635</v>
      </c>
      <c r="P175" s="148">
        <f ca="1">IF(OFFSET(Scenarios!$A$65,0,$C$1)="Yes",0,IF(P$1="Proj Yr1",OFFSET(Scenarios!$A$32,0,$C$1),O$175*(1+IF(OFFSET(Scenarios!$A$36,0,$C$1)="GDP",P$212,IF(OFFSET(Scenarios!$A$36,0,$C$1)="CPI",P$215,0)))))</f>
        <v>0.9938745571715928</v>
      </c>
      <c r="Q175" s="148">
        <f ca="1">IF(OFFSET(Scenarios!$A$65,0,$C$1)="Yes",0,IF(Q$1="Proj Yr1",OFFSET(Scenarios!$A$32,0,$C$1),P$175*(1+IF(OFFSET(Scenarios!$A$36,0,$C$1)="GDP",Q$212,IF(OFFSET(Scenarios!$A$36,0,$C$1)="CPI",Q$215,0)))))</f>
        <v>1.0137520483150246</v>
      </c>
      <c r="R175" s="148">
        <f ca="1">IF(OFFSET(Scenarios!$A$65,0,$C$1)="Yes",0,IF(R$1="Proj Yr1",OFFSET(Scenarios!$A$32,0,$C$1),Q$175*(1+IF(OFFSET(Scenarios!$A$36,0,$C$1)="GDP",R$212,IF(OFFSET(Scenarios!$A$36,0,$C$1)="CPI",R$215,0)))))</f>
        <v>1.0340270892813253</v>
      </c>
      <c r="S175" s="148">
        <f ca="1">IF(OFFSET(Scenarios!$A$65,0,$C$1)="Yes",0,IF(S$1="Proj Yr1",OFFSET(Scenarios!$A$32,0,$C$1),R$175*(1+IF(OFFSET(Scenarios!$A$36,0,$C$1)="GDP",S$212,IF(OFFSET(Scenarios!$A$36,0,$C$1)="CPI",S$215,0)))))</f>
        <v>1.0547076310669519</v>
      </c>
      <c r="T175" s="148">
        <f ca="1">IF(OFFSET(Scenarios!$A$65,0,$C$1)="Yes",0,IF(T$1="Proj Yr1",OFFSET(Scenarios!$A$32,0,$C$1),S$175*(1+IF(OFFSET(Scenarios!$A$36,0,$C$1)="GDP",T$212,IF(OFFSET(Scenarios!$A$36,0,$C$1)="CPI",T$215,0)))))</f>
        <v>1.075801783688291</v>
      </c>
      <c r="V175" s="58"/>
      <c r="W175" s="58"/>
      <c r="X175" s="58"/>
      <c r="Y175" s="58"/>
    </row>
    <row r="176" spans="1:25" s="304" customFormat="1" ht="12.75">
      <c r="A176" s="302" t="s">
        <v>786</v>
      </c>
      <c r="C176" s="247"/>
      <c r="D176" s="247">
        <f>Data!C$71</f>
        <v>0</v>
      </c>
      <c r="E176" s="247">
        <f>Data!D$71</f>
        <v>0</v>
      </c>
      <c r="F176" s="392">
        <f>Data!E$71</f>
        <v>0.184</v>
      </c>
      <c r="G176" s="392">
        <f>Data!F$71</f>
        <v>0.785</v>
      </c>
      <c r="H176" s="392">
        <f>Data!G$71</f>
        <v>1.562</v>
      </c>
      <c r="I176" s="392">
        <f>Data!H$71</f>
        <v>2.462</v>
      </c>
      <c r="J176" s="392">
        <f>Data!I$71</f>
        <v>3.325</v>
      </c>
      <c r="K176" s="303">
        <f ca="1">J$176+IF(K$1="Proj Yr1",OFFSET(Scenarios!$A$32,0,$C$1),(J$176-I$176)*(1+IF(OFFSET(Scenarios!$A$36,0,$C$1)="GDP",K$212,IF(OFFSET(Scenarios!$A$36,0,$C$1)="CPI",K$215,0))))</f>
        <v>4.2250000000000005</v>
      </c>
      <c r="L176" s="303">
        <f ca="1">K$176+IF(L$1="Proj Yr1",OFFSET(Scenarios!$A$32,0,$C$1),(K$176-J$176)*(1+IF(OFFSET(Scenarios!$A$36,0,$C$1)="GDP",L$212,IF(OFFSET(Scenarios!$A$36,0,$C$1)="CPI",L$215,0))))</f>
        <v>5.143186463687104</v>
      </c>
      <c r="M176" s="303">
        <f ca="1">L$176+IF(M$1="Proj Yr1",OFFSET(Scenarios!$A$32,0,$C$1),(L$176-K$176)*(1+IF(OFFSET(Scenarios!$A$36,0,$C$1)="GDP",M$212,IF(OFFSET(Scenarios!$A$36,0,$C$1)="CPI",M$215,0))))</f>
        <v>6.079736656647949</v>
      </c>
      <c r="N176" s="303">
        <f ca="1">M$176+IF(N$1="Proj Yr1",OFFSET(Scenarios!$A$32,0,$C$1),(M$176-L$176)*(1+IF(OFFSET(Scenarios!$A$36,0,$C$1)="GDP",N$212,IF(OFFSET(Scenarios!$A$36,0,$C$1)="CPI",N$215,0))))</f>
        <v>7.035017853468011</v>
      </c>
      <c r="O176" s="303">
        <f ca="1">N$176+IF(O$1="Proj Yr1",OFFSET(Scenarios!$A$32,0,$C$1),(N$176-M$176)*(1+IF(OFFSET(Scenarios!$A$36,0,$C$1)="GDP",O$212,IF(OFFSET(Scenarios!$A$36,0,$C$1)="CPI",O$215,0))))</f>
        <v>8.009404674224474</v>
      </c>
      <c r="P176" s="303">
        <f ca="1">O$176+IF(P$1="Proj Yr1",OFFSET(Scenarios!$A$32,0,$C$1),(O$176-N$176)*(1+IF(OFFSET(Scenarios!$A$36,0,$C$1)="GDP",P$212,IF(OFFSET(Scenarios!$A$36,0,$C$1)="CPI",P$215,0))))</f>
        <v>9.003279231396066</v>
      </c>
      <c r="Q176" s="303">
        <f ca="1">P$176+IF(Q$1="Proj Yr1",OFFSET(Scenarios!$A$32,0,$C$1),(P$176-O$176)*(1+IF(OFFSET(Scenarios!$A$36,0,$C$1)="GDP",Q$212,IF(OFFSET(Scenarios!$A$36,0,$C$1)="CPI",Q$215,0))))</f>
        <v>10.017031279711091</v>
      </c>
      <c r="R176" s="303">
        <f ca="1">Q$176+IF(R$1="Proj Yr1",OFFSET(Scenarios!$A$32,0,$C$1),(Q$176-P$176)*(1+IF(OFFSET(Scenarios!$A$36,0,$C$1)="GDP",R$212,IF(OFFSET(Scenarios!$A$36,0,$C$1)="CPI",R$215,0))))</f>
        <v>11.051058368992416</v>
      </c>
      <c r="S176" s="303">
        <f ca="1">R$176+IF(S$1="Proj Yr1",OFFSET(Scenarios!$A$32,0,$C$1),(R$176-Q$176)*(1+IF(OFFSET(Scenarios!$A$36,0,$C$1)="GDP",S$212,IF(OFFSET(Scenarios!$A$36,0,$C$1)="CPI",S$215,0))))</f>
        <v>12.105766000059369</v>
      </c>
      <c r="T176" s="303">
        <f ca="1">S$176+IF(T$1="Proj Yr1",OFFSET(Scenarios!$A$32,0,$C$1),(S$176-R$176)*(1+IF(OFFSET(Scenarios!$A$36,0,$C$1)="GDP",T$212,IF(OFFSET(Scenarios!$A$36,0,$C$1)="CPI",T$215,0))))</f>
        <v>13.18156778374766</v>
      </c>
      <c r="V176" s="58"/>
      <c r="W176" s="58"/>
      <c r="X176" s="58"/>
      <c r="Y176" s="58"/>
    </row>
    <row r="177" spans="1:25" s="304" customFormat="1" ht="12.75">
      <c r="A177" s="382"/>
      <c r="C177" s="247"/>
      <c r="D177" s="141"/>
      <c r="E177" s="141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V177" s="58"/>
      <c r="W177" s="58"/>
      <c r="X177" s="58"/>
      <c r="Y177" s="58"/>
    </row>
    <row r="178" spans="1:25" s="304" customFormat="1" ht="12.75">
      <c r="A178" s="394" t="s">
        <v>153</v>
      </c>
      <c r="C178" s="247"/>
      <c r="D178" s="247"/>
      <c r="E178" s="247"/>
      <c r="F178" s="247"/>
      <c r="G178" s="247"/>
      <c r="H178" s="247"/>
      <c r="I178" s="247"/>
      <c r="J178" s="247"/>
      <c r="V178" s="58"/>
      <c r="W178" s="58"/>
      <c r="X178" s="58"/>
      <c r="Y178" s="58"/>
    </row>
    <row r="179" spans="1:25" s="304" customFormat="1" ht="12.75">
      <c r="A179" s="344" t="s">
        <v>882</v>
      </c>
      <c r="C179" s="247"/>
      <c r="D179" s="247">
        <f>Data!C$122</f>
        <v>25.049</v>
      </c>
      <c r="E179" s="247">
        <f>Data!D$122</f>
        <v>25.696</v>
      </c>
      <c r="F179" s="392">
        <f>Data!E$122</f>
        <v>27.807</v>
      </c>
      <c r="G179" s="392">
        <f>Data!F$122</f>
        <v>28.201</v>
      </c>
      <c r="H179" s="392">
        <f>Data!G$122</f>
        <v>28.595</v>
      </c>
      <c r="I179" s="392">
        <f>Data!H$122</f>
        <v>28.85</v>
      </c>
      <c r="J179" s="392">
        <f>Data!I$122</f>
        <v>28.914</v>
      </c>
      <c r="K179" s="303">
        <f aca="true" t="shared" si="96" ref="K179:T179">J$179*IF(K$1="Proj Yr1",AVERAGE(H$179/G$179,I$179/H$179,J$179/I$179),J$179/I$179)</f>
        <v>29.155982707881236</v>
      </c>
      <c r="L179" s="303">
        <f t="shared" si="96"/>
        <v>29.399990581111904</v>
      </c>
      <c r="M179" s="303">
        <f t="shared" si="96"/>
        <v>29.646040568401805</v>
      </c>
      <c r="N179" s="303">
        <f t="shared" si="96"/>
        <v>29.89414976030534</v>
      </c>
      <c r="O179" s="303">
        <f t="shared" si="96"/>
        <v>30.144335390408607</v>
      </c>
      <c r="P179" s="303">
        <f t="shared" si="96"/>
        <v>30.396614836526446</v>
      </c>
      <c r="Q179" s="303">
        <f t="shared" si="96"/>
        <v>30.651005621909498</v>
      </c>
      <c r="R179" s="303">
        <f t="shared" si="96"/>
        <v>30.90752541646136</v>
      </c>
      <c r="S179" s="303">
        <f t="shared" si="96"/>
        <v>31.16619203796594</v>
      </c>
      <c r="T179" s="303">
        <f t="shared" si="96"/>
        <v>31.427023453325056</v>
      </c>
      <c r="V179" s="58"/>
      <c r="W179" s="58"/>
      <c r="X179" s="58"/>
      <c r="Y179" s="58"/>
    </row>
    <row r="180" spans="1:25" s="304" customFormat="1" ht="12.75">
      <c r="A180" s="344" t="s">
        <v>646</v>
      </c>
      <c r="C180" s="247"/>
      <c r="D180" s="247">
        <f>SUM(Data!C$72,Data!C$123,Data!C$125)</f>
        <v>1.866</v>
      </c>
      <c r="E180" s="247">
        <f>SUM(Data!D$72,Data!D$123,Data!D$125)</f>
        <v>2.2199999999999998</v>
      </c>
      <c r="F180" s="224">
        <f>SUM(Data!E$72,Data!E$123,Data!E$125)</f>
        <v>1.726</v>
      </c>
      <c r="G180" s="224">
        <f>SUM(Data!F$72,Data!F$123,Data!F$125)</f>
        <v>1.8330000000000002</v>
      </c>
      <c r="H180" s="224">
        <f>SUM(Data!G$72,Data!G$123,Data!G$125)</f>
        <v>1.924</v>
      </c>
      <c r="I180" s="224">
        <f>SUM(Data!H$72,Data!H$123,Data!H$125)</f>
        <v>1.956</v>
      </c>
      <c r="J180" s="224">
        <f>SUM(Data!I$72,Data!I$123,Data!I$125)</f>
        <v>2.527</v>
      </c>
      <c r="K180" s="303">
        <f aca="true" t="shared" si="97" ref="K180:S180">J$180*(1+K$215)</f>
        <v>2.5831175485970115</v>
      </c>
      <c r="L180" s="303">
        <f t="shared" si="97"/>
        <v>2.635315074704877</v>
      </c>
      <c r="M180" s="303">
        <f t="shared" si="97"/>
        <v>2.688021376198974</v>
      </c>
      <c r="N180" s="303">
        <f t="shared" si="97"/>
        <v>2.7417818037229535</v>
      </c>
      <c r="O180" s="303">
        <f t="shared" si="97"/>
        <v>2.7966174397974126</v>
      </c>
      <c r="P180" s="303">
        <f t="shared" si="97"/>
        <v>2.852549788593361</v>
      </c>
      <c r="Q180" s="303">
        <f t="shared" si="97"/>
        <v>2.9096007843652285</v>
      </c>
      <c r="R180" s="303">
        <f t="shared" si="97"/>
        <v>2.9677928000525333</v>
      </c>
      <c r="S180" s="303">
        <f t="shared" si="97"/>
        <v>3.027148656053584</v>
      </c>
      <c r="T180" s="303">
        <f>S$180*(1+T$215)</f>
        <v>3.0876916291746554</v>
      </c>
      <c r="V180" s="58"/>
      <c r="W180" s="58"/>
      <c r="X180" s="58"/>
      <c r="Y180" s="58"/>
    </row>
    <row r="181" spans="1:25" s="304" customFormat="1" ht="12.75">
      <c r="A181" s="344" t="s">
        <v>27</v>
      </c>
      <c r="C181" s="247"/>
      <c r="D181" s="247">
        <f>Data!C124</f>
        <v>0</v>
      </c>
      <c r="E181" s="247">
        <f>Data!D124</f>
        <v>0</v>
      </c>
      <c r="F181" s="224">
        <f>Data!E124</f>
        <v>0</v>
      </c>
      <c r="G181" s="224">
        <f>Data!F124</f>
        <v>0</v>
      </c>
      <c r="H181" s="224">
        <f>Data!G124</f>
        <v>0</v>
      </c>
      <c r="I181" s="224">
        <f>Data!H124</f>
        <v>0</v>
      </c>
      <c r="J181" s="224">
        <f>Data!I124</f>
        <v>0</v>
      </c>
      <c r="K181" s="303">
        <f>Tracks!H$121</f>
        <v>0</v>
      </c>
      <c r="L181" s="303">
        <f>Tracks!I$121</f>
        <v>0</v>
      </c>
      <c r="M181" s="303">
        <f>Tracks!J$121</f>
        <v>0</v>
      </c>
      <c r="N181" s="303">
        <f>Tracks!K$121</f>
        <v>0</v>
      </c>
      <c r="O181" s="303">
        <f>Tracks!L$121</f>
        <v>0</v>
      </c>
      <c r="P181" s="303">
        <f>Tracks!M$121</f>
        <v>0</v>
      </c>
      <c r="Q181" s="303">
        <f>Tracks!N$121</f>
        <v>0</v>
      </c>
      <c r="R181" s="303">
        <f>Tracks!O$121</f>
        <v>0</v>
      </c>
      <c r="S181" s="303">
        <f>Tracks!P$121</f>
        <v>0</v>
      </c>
      <c r="T181" s="303">
        <f>Tracks!Q$121</f>
        <v>0</v>
      </c>
      <c r="V181" s="58"/>
      <c r="W181" s="58"/>
      <c r="X181" s="58"/>
      <c r="Y181" s="58"/>
    </row>
    <row r="182" spans="1:25" s="304" customFormat="1" ht="12.75">
      <c r="A182" s="382" t="s">
        <v>154</v>
      </c>
      <c r="C182" s="247"/>
      <c r="D182" s="141">
        <f aca="true" t="shared" si="98" ref="D182:I182">SUM(D$179,D$180,D181)</f>
        <v>26.915</v>
      </c>
      <c r="E182" s="141">
        <f t="shared" si="98"/>
        <v>27.916</v>
      </c>
      <c r="F182" s="390">
        <f t="shared" si="98"/>
        <v>29.532999999999998</v>
      </c>
      <c r="G182" s="390">
        <f t="shared" si="98"/>
        <v>30.034</v>
      </c>
      <c r="H182" s="390">
        <f t="shared" si="98"/>
        <v>30.519</v>
      </c>
      <c r="I182" s="390">
        <f t="shared" si="98"/>
        <v>30.806</v>
      </c>
      <c r="J182" s="390">
        <f>SUM(J$179,J$180,J181)</f>
        <v>31.441000000000003</v>
      </c>
      <c r="K182" s="148">
        <f aca="true" t="shared" si="99" ref="K182:T182">SUM(K$179,K$180,K181)</f>
        <v>31.73910025647825</v>
      </c>
      <c r="L182" s="148">
        <f t="shared" si="99"/>
        <v>32.03530565581678</v>
      </c>
      <c r="M182" s="148">
        <f t="shared" si="99"/>
        <v>32.334061944600776</v>
      </c>
      <c r="N182" s="148">
        <f t="shared" si="99"/>
        <v>32.63593156402829</v>
      </c>
      <c r="O182" s="148">
        <f t="shared" si="99"/>
        <v>32.94095283020602</v>
      </c>
      <c r="P182" s="148">
        <f t="shared" si="99"/>
        <v>33.2491646251198</v>
      </c>
      <c r="Q182" s="148">
        <f t="shared" si="99"/>
        <v>33.56060640627473</v>
      </c>
      <c r="R182" s="148">
        <f t="shared" si="99"/>
        <v>33.8753182165139</v>
      </c>
      <c r="S182" s="148">
        <f t="shared" si="99"/>
        <v>34.193340694019525</v>
      </c>
      <c r="T182" s="148">
        <f t="shared" si="99"/>
        <v>34.51471508249971</v>
      </c>
      <c r="V182" s="58"/>
      <c r="W182" s="58"/>
      <c r="X182" s="58"/>
      <c r="Y182" s="58"/>
    </row>
    <row r="183" spans="1:25" s="304" customFormat="1" ht="12.75">
      <c r="A183" s="382" t="s">
        <v>155</v>
      </c>
      <c r="C183" s="247"/>
      <c r="D183" s="141">
        <f>SUM(Data!C$66,Data!C$67,Data!C$69,Data!C$70,Data!C$72)</f>
        <v>11.030999999999999</v>
      </c>
      <c r="E183" s="141">
        <f>SUM(Data!D$66,Data!D$67,Data!D$69,Data!D$70,Data!D$72)</f>
        <v>12.443</v>
      </c>
      <c r="F183" s="390">
        <f>SUM(Data!E$66,Data!E$67,Data!E$69,Data!E$70,Data!E$72)</f>
        <v>13.094000000000001</v>
      </c>
      <c r="G183" s="390">
        <f>SUM(Data!F$66,Data!F$67,Data!F$69,Data!F$70,Data!F$72)</f>
        <v>13.687000000000001</v>
      </c>
      <c r="H183" s="390">
        <f>SUM(Data!G$66,Data!G$67,Data!G$69,Data!G$70,Data!G$72)</f>
        <v>14.396999999999998</v>
      </c>
      <c r="I183" s="390">
        <f>SUM(Data!H$66,Data!H$67,Data!H$69,Data!H$70,Data!H$72)</f>
        <v>14.808000000000002</v>
      </c>
      <c r="J183" s="390">
        <f>SUM(Data!I$66,Data!I$67,Data!I$69,Data!I$70,Data!I$72)</f>
        <v>15.728000000000002</v>
      </c>
      <c r="K183" s="148">
        <f aca="true" t="shared" si="100" ref="K183:S183">J$183*(1+K$215)</f>
        <v>16.07727455652307</v>
      </c>
      <c r="L183" s="148">
        <f t="shared" si="100"/>
        <v>16.402150967533956</v>
      </c>
      <c r="M183" s="148">
        <f t="shared" si="100"/>
        <v>16.730193986884636</v>
      </c>
      <c r="N183" s="148">
        <f t="shared" si="100"/>
        <v>17.064797866622328</v>
      </c>
      <c r="O183" s="148">
        <f t="shared" si="100"/>
        <v>17.406093823954777</v>
      </c>
      <c r="P183" s="148">
        <f t="shared" si="100"/>
        <v>17.75421570043387</v>
      </c>
      <c r="Q183" s="148">
        <f t="shared" si="100"/>
        <v>18.10930001444255</v>
      </c>
      <c r="R183" s="148">
        <f t="shared" si="100"/>
        <v>18.4714860147314</v>
      </c>
      <c r="S183" s="148">
        <f t="shared" si="100"/>
        <v>18.84091573502603</v>
      </c>
      <c r="T183" s="148">
        <f>S$183*(1+T$215)</f>
        <v>19.217734049726552</v>
      </c>
      <c r="V183" s="58"/>
      <c r="W183" s="58"/>
      <c r="X183" s="58"/>
      <c r="Y183" s="58"/>
    </row>
    <row r="184" spans="1:25" s="304" customFormat="1" ht="12.75">
      <c r="A184" s="344"/>
      <c r="C184" s="247"/>
      <c r="D184" s="141"/>
      <c r="E184" s="141"/>
      <c r="F184" s="147"/>
      <c r="G184" s="147"/>
      <c r="H184" s="147"/>
      <c r="I184" s="147"/>
      <c r="J184" s="147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V184" s="58"/>
      <c r="W184" s="58"/>
      <c r="X184" s="58"/>
      <c r="Y184" s="58"/>
    </row>
    <row r="185" spans="1:25" s="304" customFormat="1" ht="12.75">
      <c r="A185" s="394" t="s">
        <v>156</v>
      </c>
      <c r="C185" s="247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V185" s="58"/>
      <c r="W185" s="58"/>
      <c r="X185" s="58"/>
      <c r="Y185" s="58"/>
    </row>
    <row r="186" spans="1:25" s="304" customFormat="1" ht="12.75">
      <c r="A186" s="344" t="s">
        <v>895</v>
      </c>
      <c r="C186" s="247"/>
      <c r="D186" s="247">
        <f>Data!C$74</f>
        <v>3.444</v>
      </c>
      <c r="E186" s="247">
        <f>Data!D$74</f>
        <v>3.53</v>
      </c>
      <c r="F186" s="392">
        <f>Data!E$74</f>
        <v>3.702</v>
      </c>
      <c r="G186" s="392">
        <f>Data!F$74</f>
        <v>3.883</v>
      </c>
      <c r="H186" s="392">
        <f>Data!G$74</f>
        <v>4.073</v>
      </c>
      <c r="I186" s="392">
        <f>Data!H$74</f>
        <v>4.273</v>
      </c>
      <c r="J186" s="392">
        <f>Data!I$74</f>
        <v>4.482</v>
      </c>
      <c r="K186" s="303">
        <f aca="true" t="shared" si="101" ref="K186:S186">J$186*(1+K$215)</f>
        <v>4.581532589161775</v>
      </c>
      <c r="L186" s="303">
        <f t="shared" si="101"/>
        <v>4.674112451455187</v>
      </c>
      <c r="M186" s="303">
        <f t="shared" si="101"/>
        <v>4.767594700484291</v>
      </c>
      <c r="N186" s="303">
        <f t="shared" si="101"/>
        <v>4.862946594493977</v>
      </c>
      <c r="O186" s="303">
        <f t="shared" si="101"/>
        <v>4.960205526383857</v>
      </c>
      <c r="P186" s="303">
        <f t="shared" si="101"/>
        <v>5.059409636911534</v>
      </c>
      <c r="Q186" s="303">
        <f t="shared" si="101"/>
        <v>5.160597829649765</v>
      </c>
      <c r="R186" s="303">
        <f t="shared" si="101"/>
        <v>5.26380978624276</v>
      </c>
      <c r="S186" s="303">
        <f t="shared" si="101"/>
        <v>5.369085981967615</v>
      </c>
      <c r="T186" s="303">
        <f>S$186*(1+T$215)</f>
        <v>5.476467701606968</v>
      </c>
      <c r="V186" s="58"/>
      <c r="W186" s="58"/>
      <c r="X186" s="58"/>
      <c r="Y186" s="58"/>
    </row>
    <row r="187" spans="1:25" s="304" customFormat="1" ht="12.75">
      <c r="A187" s="344" t="s">
        <v>894</v>
      </c>
      <c r="C187" s="247"/>
      <c r="D187" s="247">
        <f>Data!C$80</f>
        <v>7.161</v>
      </c>
      <c r="E187" s="247">
        <f>Data!D$80</f>
        <v>8.257</v>
      </c>
      <c r="F187" s="392">
        <f>Data!E$80</f>
        <v>8.332</v>
      </c>
      <c r="G187" s="392">
        <f>Data!F$80</f>
        <v>8.293</v>
      </c>
      <c r="H187" s="392">
        <f>Data!G$80</f>
        <v>8.227</v>
      </c>
      <c r="I187" s="392">
        <f>Data!H$80</f>
        <v>8.147</v>
      </c>
      <c r="J187" s="392">
        <f>Data!I$80</f>
        <v>8.067</v>
      </c>
      <c r="K187" s="303">
        <f>J$187*Tracks!N$18/Tracks!M$18</f>
        <v>7.812973795898427</v>
      </c>
      <c r="L187" s="303">
        <f>K$187*Tracks!O$18/Tracks!N$18</f>
        <v>7.705531615589611</v>
      </c>
      <c r="M187" s="303">
        <f>L$187*Tracks!P$18/Tracks!O$18</f>
        <v>7.588933891009831</v>
      </c>
      <c r="N187" s="303">
        <f>M$187*Tracks!Q$18/Tracks!P$18</f>
        <v>7.450263012198111</v>
      </c>
      <c r="O187" s="303">
        <f>N$187*Tracks!R$18/Tracks!Q$18</f>
        <v>7.301628362600783</v>
      </c>
      <c r="P187" s="303">
        <f>O$187*Tracks!S$18/Tracks!R$18</f>
        <v>7.137098807694962</v>
      </c>
      <c r="Q187" s="303">
        <f>P$187*Tracks!T$18/Tracks!S$18</f>
        <v>6.9649525101527106</v>
      </c>
      <c r="R187" s="303">
        <f>Q$187*Tracks!U$18/Tracks!T$18</f>
        <v>6.774491108847487</v>
      </c>
      <c r="S187" s="303">
        <f>R$187*Tracks!V$18/Tracks!U$18</f>
        <v>6.575646116261643</v>
      </c>
      <c r="T187" s="303">
        <f>S$187*Tracks!W$18/Tracks!V$18</f>
        <v>6.36512322388439</v>
      </c>
      <c r="V187" s="58"/>
      <c r="W187" s="58"/>
      <c r="X187" s="58"/>
      <c r="Y187" s="58"/>
    </row>
    <row r="188" spans="1:25" s="304" customFormat="1" ht="12.75">
      <c r="A188" s="344" t="s">
        <v>896</v>
      </c>
      <c r="B188" s="299"/>
      <c r="C188" s="247"/>
      <c r="D188" s="247">
        <f>Data!C$126-SUM(D$186:D$187)</f>
        <v>7.228999999999999</v>
      </c>
      <c r="E188" s="247">
        <f>Data!D$126-SUM(E$186:E$187)</f>
        <v>9.514</v>
      </c>
      <c r="F188" s="224">
        <f>Data!E$126-SUM(F$186:F$187)</f>
        <v>9.571</v>
      </c>
      <c r="G188" s="224">
        <f>Data!F$126-SUM(G$186:G$187)</f>
        <v>9.716000000000001</v>
      </c>
      <c r="H188" s="224">
        <f>Data!G$126-SUM(H$186:H$187)</f>
        <v>9.835</v>
      </c>
      <c r="I188" s="224">
        <f>Data!H$126-SUM(I$186:I$187)</f>
        <v>10.095999999999998</v>
      </c>
      <c r="J188" s="224">
        <f>Data!I$126-SUM(J$186:J$187)</f>
        <v>10.883000000000003</v>
      </c>
      <c r="K188" s="303">
        <f aca="true" t="shared" si="102" ref="K188:S188">J$188*(1+K$215)</f>
        <v>11.124680760340832</v>
      </c>
      <c r="L188" s="303">
        <f t="shared" si="102"/>
        <v>11.34947920776145</v>
      </c>
      <c r="M188" s="303">
        <f t="shared" si="102"/>
        <v>11.576468791916678</v>
      </c>
      <c r="N188" s="303">
        <f t="shared" si="102"/>
        <v>11.807998167755011</v>
      </c>
      <c r="O188" s="303">
        <f t="shared" si="102"/>
        <v>12.044158131110112</v>
      </c>
      <c r="P188" s="303">
        <f t="shared" si="102"/>
        <v>12.285041293732315</v>
      </c>
      <c r="Q188" s="303">
        <f t="shared" si="102"/>
        <v>12.53074211960696</v>
      </c>
      <c r="R188" s="303">
        <f t="shared" si="102"/>
        <v>12.7813569619991</v>
      </c>
      <c r="S188" s="303">
        <f t="shared" si="102"/>
        <v>13.036984101239081</v>
      </c>
      <c r="T188" s="303">
        <f>S$188*(1+T$215)</f>
        <v>13.297723783263864</v>
      </c>
      <c r="V188" s="58"/>
      <c r="W188" s="58"/>
      <c r="X188" s="58"/>
      <c r="Y188" s="58"/>
    </row>
    <row r="189" spans="1:25" s="304" customFormat="1" ht="12.75">
      <c r="A189" s="344" t="s">
        <v>28</v>
      </c>
      <c r="B189" s="299"/>
      <c r="C189" s="247"/>
      <c r="D189" s="247">
        <f>Data!C127</f>
        <v>0.704</v>
      </c>
      <c r="E189" s="247">
        <f>Data!D127</f>
        <v>0.562</v>
      </c>
      <c r="F189" s="224">
        <f>Data!E127</f>
        <v>0.562</v>
      </c>
      <c r="G189" s="224">
        <f>Data!F127</f>
        <v>0.562</v>
      </c>
      <c r="H189" s="224">
        <f>Data!G127</f>
        <v>0.562</v>
      </c>
      <c r="I189" s="224">
        <f>Data!H127</f>
        <v>0.562</v>
      </c>
      <c r="J189" s="224">
        <f>Data!I127</f>
        <v>0.562</v>
      </c>
      <c r="K189" s="303">
        <f>Tracks!H$114</f>
        <v>0</v>
      </c>
      <c r="L189" s="303">
        <f>Tracks!I$114</f>
        <v>0</v>
      </c>
      <c r="M189" s="303">
        <f>Tracks!J$114</f>
        <v>0</v>
      </c>
      <c r="N189" s="303">
        <f>Tracks!K$114</f>
        <v>0</v>
      </c>
      <c r="O189" s="303">
        <f>Tracks!L$114</f>
        <v>0</v>
      </c>
      <c r="P189" s="303">
        <f>Tracks!M$114</f>
        <v>0</v>
      </c>
      <c r="Q189" s="303">
        <f>Tracks!N$114</f>
        <v>0</v>
      </c>
      <c r="R189" s="303">
        <f>Tracks!O$114</f>
        <v>0</v>
      </c>
      <c r="S189" s="303">
        <f>Tracks!P$114</f>
        <v>0</v>
      </c>
      <c r="T189" s="303">
        <f>Tracks!Q$114</f>
        <v>0</v>
      </c>
      <c r="V189" s="58"/>
      <c r="W189" s="58"/>
      <c r="X189" s="58"/>
      <c r="Y189" s="58"/>
    </row>
    <row r="190" spans="1:25" s="304" customFormat="1" ht="12.75">
      <c r="A190" s="344" t="s">
        <v>29</v>
      </c>
      <c r="B190" s="299"/>
      <c r="C190" s="247"/>
      <c r="D190" s="247">
        <f>Data!C128</f>
        <v>0</v>
      </c>
      <c r="E190" s="247">
        <f>Data!D128</f>
        <v>0</v>
      </c>
      <c r="F190" s="224">
        <f>Data!E128</f>
        <v>0.239</v>
      </c>
      <c r="G190" s="224">
        <f>Data!F128</f>
        <v>0.781</v>
      </c>
      <c r="H190" s="224">
        <f>Data!G128</f>
        <v>0.564</v>
      </c>
      <c r="I190" s="224">
        <f>Data!H128</f>
        <v>0.162</v>
      </c>
      <c r="J190" s="224">
        <f>Data!I128</f>
        <v>-0.562</v>
      </c>
      <c r="K190" s="303">
        <f>Tracks!H$120</f>
        <v>0</v>
      </c>
      <c r="L190" s="303">
        <f>Tracks!I$120</f>
        <v>0</v>
      </c>
      <c r="M190" s="303">
        <f>Tracks!J$120</f>
        <v>0</v>
      </c>
      <c r="N190" s="303">
        <f>Tracks!K$120</f>
        <v>0</v>
      </c>
      <c r="O190" s="303">
        <f>Tracks!L$120</f>
        <v>0</v>
      </c>
      <c r="P190" s="303">
        <f>Tracks!M$120</f>
        <v>0</v>
      </c>
      <c r="Q190" s="303">
        <f>Tracks!N$120</f>
        <v>0</v>
      </c>
      <c r="R190" s="303">
        <f>Tracks!O$120</f>
        <v>0</v>
      </c>
      <c r="S190" s="303">
        <f>Tracks!P$120</f>
        <v>0</v>
      </c>
      <c r="T190" s="303">
        <f>Tracks!Q$120</f>
        <v>0</v>
      </c>
      <c r="V190" s="58"/>
      <c r="W190" s="58"/>
      <c r="X190" s="58"/>
      <c r="Y190" s="58"/>
    </row>
    <row r="191" spans="1:25" s="304" customFormat="1" ht="12.75">
      <c r="A191" s="382" t="s">
        <v>647</v>
      </c>
      <c r="B191" s="299"/>
      <c r="C191" s="247"/>
      <c r="D191" s="141">
        <f aca="true" t="shared" si="103" ref="D191:J191">SUM(D$186:D$190)</f>
        <v>18.538</v>
      </c>
      <c r="E191" s="141">
        <f t="shared" si="103"/>
        <v>21.863</v>
      </c>
      <c r="F191" s="390">
        <f t="shared" si="103"/>
        <v>22.406000000000002</v>
      </c>
      <c r="G191" s="390">
        <f t="shared" si="103"/>
        <v>23.235</v>
      </c>
      <c r="H191" s="390">
        <f t="shared" si="103"/>
        <v>23.261000000000003</v>
      </c>
      <c r="I191" s="390">
        <f t="shared" si="103"/>
        <v>23.24</v>
      </c>
      <c r="J191" s="390">
        <f t="shared" si="103"/>
        <v>23.432000000000002</v>
      </c>
      <c r="K191" s="148">
        <f aca="true" t="shared" si="104" ref="K191:T191">SUM(K$186:K$190)</f>
        <v>23.519187145401034</v>
      </c>
      <c r="L191" s="148">
        <f t="shared" si="104"/>
        <v>23.72912327480625</v>
      </c>
      <c r="M191" s="148">
        <f t="shared" si="104"/>
        <v>23.9329973834108</v>
      </c>
      <c r="N191" s="148">
        <f t="shared" si="104"/>
        <v>24.1212077744471</v>
      </c>
      <c r="O191" s="148">
        <f t="shared" si="104"/>
        <v>24.305992020094752</v>
      </c>
      <c r="P191" s="148">
        <f t="shared" si="104"/>
        <v>24.481549738338813</v>
      </c>
      <c r="Q191" s="148">
        <f t="shared" si="104"/>
        <v>24.656292459409435</v>
      </c>
      <c r="R191" s="148">
        <f t="shared" si="104"/>
        <v>24.819657857089346</v>
      </c>
      <c r="S191" s="148">
        <f t="shared" si="104"/>
        <v>24.981716199468337</v>
      </c>
      <c r="T191" s="148">
        <f t="shared" si="104"/>
        <v>25.139314708755222</v>
      </c>
      <c r="V191" s="58"/>
      <c r="W191" s="58"/>
      <c r="X191" s="58"/>
      <c r="Y191" s="58"/>
    </row>
    <row r="192" spans="1:25" s="304" customFormat="1" ht="12.75">
      <c r="A192" s="389" t="s">
        <v>900</v>
      </c>
      <c r="B192" s="299"/>
      <c r="C192" s="247"/>
      <c r="D192" s="247">
        <f>SUM(Data!C$75,Data!C$76,Data!C$81)-D$188-D189-D190</f>
        <v>5.668</v>
      </c>
      <c r="E192" s="247">
        <f>SUM(Data!D$75,Data!D$76,Data!D$81)-E$188-E189-E190</f>
        <v>6.863999999999998</v>
      </c>
      <c r="F192" s="224">
        <f>SUM(Data!E$75,Data!E$76,Data!E$81)-F$188-F189-F190</f>
        <v>7.844000000000002</v>
      </c>
      <c r="G192" s="224">
        <f>SUM(Data!F$75,Data!F$76,Data!F$81)-G$188-G189-G190</f>
        <v>7.575</v>
      </c>
      <c r="H192" s="224">
        <f>SUM(Data!G$75,Data!G$76,Data!G$81)-H$188-H189-H190</f>
        <v>6.471999999999999</v>
      </c>
      <c r="I192" s="224">
        <f>SUM(Data!H$75,Data!H$76,Data!H$81)-I$188-I189-I190</f>
        <v>6.127000000000004</v>
      </c>
      <c r="J192" s="224">
        <f>SUM(Data!I$75,Data!I$76,Data!I$81)-J$188-J189-J190</f>
        <v>5.797999999999995</v>
      </c>
      <c r="K192" s="303">
        <f aca="true" t="shared" si="105" ref="K192:S192">J$192*(1+K$215)</f>
        <v>5.92675724050869</v>
      </c>
      <c r="L192" s="303">
        <f t="shared" si="105"/>
        <v>6.0465203019940095</v>
      </c>
      <c r="M192" s="303">
        <f t="shared" si="105"/>
        <v>6.16745070803389</v>
      </c>
      <c r="N192" s="303">
        <f t="shared" si="105"/>
        <v>6.290799722194568</v>
      </c>
      <c r="O192" s="303">
        <f t="shared" si="105"/>
        <v>6.41661571663846</v>
      </c>
      <c r="P192" s="303">
        <f t="shared" si="105"/>
        <v>6.544948030971229</v>
      </c>
      <c r="Q192" s="303">
        <f t="shared" si="105"/>
        <v>6.675846991590654</v>
      </c>
      <c r="R192" s="303">
        <f t="shared" si="105"/>
        <v>6.809363931422467</v>
      </c>
      <c r="S192" s="303">
        <f t="shared" si="105"/>
        <v>6.945551210050917</v>
      </c>
      <c r="T192" s="303">
        <f>S$192*(1+T$215)</f>
        <v>7.084462234251935</v>
      </c>
      <c r="V192" s="58"/>
      <c r="W192" s="58"/>
      <c r="X192" s="58"/>
      <c r="Y192" s="58"/>
    </row>
    <row r="193" spans="1:25" s="304" customFormat="1" ht="12.75">
      <c r="A193" s="389" t="s">
        <v>897</v>
      </c>
      <c r="B193" s="299"/>
      <c r="C193" s="247"/>
      <c r="D193" s="247">
        <f aca="true" t="shared" si="106" ref="D193:T193">D$125</f>
        <v>17.418</v>
      </c>
      <c r="E193" s="247">
        <f t="shared" si="106"/>
        <v>20.484</v>
      </c>
      <c r="F193" s="224">
        <f t="shared" si="106"/>
        <v>21.982</v>
      </c>
      <c r="G193" s="224">
        <f t="shared" si="106"/>
        <v>23.425</v>
      </c>
      <c r="H193" s="224">
        <f t="shared" si="106"/>
        <v>24.902</v>
      </c>
      <c r="I193" s="224">
        <f t="shared" si="106"/>
        <v>26.453</v>
      </c>
      <c r="J193" s="224">
        <f t="shared" si="106"/>
        <v>28.073</v>
      </c>
      <c r="K193" s="303">
        <f t="shared" si="106"/>
        <v>29.818926678848303</v>
      </c>
      <c r="L193" s="303">
        <f t="shared" si="106"/>
        <v>31.673436692855454</v>
      </c>
      <c r="M193" s="303">
        <f t="shared" si="106"/>
        <v>33.64328309804439</v>
      </c>
      <c r="N193" s="303">
        <f t="shared" si="106"/>
        <v>35.735638939063236</v>
      </c>
      <c r="O193" s="303">
        <f t="shared" si="106"/>
        <v>37.95812336927735</v>
      </c>
      <c r="P193" s="303">
        <f t="shared" si="106"/>
        <v>40.31882939533216</v>
      </c>
      <c r="Q193" s="303">
        <f t="shared" si="106"/>
        <v>42.826353347216305</v>
      </c>
      <c r="R193" s="303">
        <f t="shared" si="106"/>
        <v>45.4898261811382</v>
      </c>
      <c r="S193" s="303">
        <f t="shared" si="106"/>
        <v>48.318946729202935</v>
      </c>
      <c r="T193" s="303">
        <f t="shared" si="106"/>
        <v>51.32401701696575</v>
      </c>
      <c r="V193" s="58"/>
      <c r="W193" s="58"/>
      <c r="X193" s="58"/>
      <c r="Y193" s="58"/>
    </row>
    <row r="194" spans="1:25" s="304" customFormat="1" ht="12.75">
      <c r="A194" s="382" t="s">
        <v>648</v>
      </c>
      <c r="B194" s="299"/>
      <c r="C194" s="247"/>
      <c r="D194" s="141">
        <f>SUM(D$191:D$193)</f>
        <v>41.623999999999995</v>
      </c>
      <c r="E194" s="141">
        <f>SUM(E$191:E$193)</f>
        <v>49.211</v>
      </c>
      <c r="F194" s="390">
        <f aca="true" t="shared" si="107" ref="F194:T194">SUM(F$191:F$193)</f>
        <v>52.232</v>
      </c>
      <c r="G194" s="390">
        <f t="shared" si="107"/>
        <v>54.235</v>
      </c>
      <c r="H194" s="390">
        <f t="shared" si="107"/>
        <v>54.635000000000005</v>
      </c>
      <c r="I194" s="390">
        <f t="shared" si="107"/>
        <v>55.82000000000001</v>
      </c>
      <c r="J194" s="390">
        <f t="shared" si="107"/>
        <v>57.303</v>
      </c>
      <c r="K194" s="148">
        <f t="shared" si="107"/>
        <v>59.264871064758026</v>
      </c>
      <c r="L194" s="148">
        <f t="shared" si="107"/>
        <v>61.44908026965571</v>
      </c>
      <c r="M194" s="148">
        <f t="shared" si="107"/>
        <v>63.74373118948908</v>
      </c>
      <c r="N194" s="148">
        <f t="shared" si="107"/>
        <v>66.1476464357049</v>
      </c>
      <c r="O194" s="148">
        <f t="shared" si="107"/>
        <v>68.68073110601057</v>
      </c>
      <c r="P194" s="148">
        <f t="shared" si="107"/>
        <v>71.3453271646422</v>
      </c>
      <c r="Q194" s="148">
        <f t="shared" si="107"/>
        <v>74.1584927982164</v>
      </c>
      <c r="R194" s="148">
        <f t="shared" si="107"/>
        <v>77.11884796965</v>
      </c>
      <c r="S194" s="148">
        <f t="shared" si="107"/>
        <v>80.2462141387222</v>
      </c>
      <c r="T194" s="148">
        <f t="shared" si="107"/>
        <v>83.5477939599729</v>
      </c>
      <c r="V194" s="58"/>
      <c r="W194" s="58"/>
      <c r="X194" s="58"/>
      <c r="Y194" s="58"/>
    </row>
    <row r="195" spans="1:25" s="304" customFormat="1" ht="12.75">
      <c r="A195" s="382"/>
      <c r="B195" s="299"/>
      <c r="C195" s="425"/>
      <c r="D195" s="387"/>
      <c r="E195" s="387"/>
      <c r="V195" s="58"/>
      <c r="W195" s="58"/>
      <c r="X195" s="58"/>
      <c r="Y195" s="58"/>
    </row>
    <row r="196" spans="1:25" s="304" customFormat="1" ht="12.75">
      <c r="A196" s="394" t="s">
        <v>158</v>
      </c>
      <c r="C196" s="425"/>
      <c r="D196" s="141">
        <f>Data!C$102</f>
        <v>10.735</v>
      </c>
      <c r="E196" s="141">
        <f>Data!D$102</f>
        <v>12.918</v>
      </c>
      <c r="F196" s="390">
        <f>Data!E$102</f>
        <v>15.24</v>
      </c>
      <c r="G196" s="390">
        <f>Data!F$102</f>
        <v>17.108</v>
      </c>
      <c r="H196" s="390">
        <f>Data!G$102</f>
        <v>19.383</v>
      </c>
      <c r="I196" s="390">
        <f>Data!H$102</f>
        <v>19.961</v>
      </c>
      <c r="J196" s="390">
        <f>Data!I$102</f>
        <v>21.306</v>
      </c>
      <c r="K196" s="148">
        <f aca="true" t="shared" si="108" ref="K196:S196">J$196*(1+K$212)</f>
        <v>22.22223141701603</v>
      </c>
      <c r="L196" s="148">
        <f t="shared" si="108"/>
        <v>23.105366323753962</v>
      </c>
      <c r="M196" s="148">
        <f t="shared" si="108"/>
        <v>24.107258373343928</v>
      </c>
      <c r="N196" s="148">
        <f t="shared" si="108"/>
        <v>25.24525804754944</v>
      </c>
      <c r="O196" s="148">
        <f t="shared" si="108"/>
        <v>26.407493765520663</v>
      </c>
      <c r="P196" s="148">
        <f t="shared" si="108"/>
        <v>27.59450977455123</v>
      </c>
      <c r="Q196" s="148">
        <f t="shared" si="108"/>
        <v>28.809101108784816</v>
      </c>
      <c r="R196" s="148">
        <f t="shared" si="108"/>
        <v>30.050982047781137</v>
      </c>
      <c r="S196" s="148">
        <f t="shared" si="108"/>
        <v>31.33364795925465</v>
      </c>
      <c r="T196" s="148">
        <f>S$196*(1+T$212)</f>
        <v>32.620497523082285</v>
      </c>
      <c r="V196" s="58"/>
      <c r="W196" s="58"/>
      <c r="X196" s="58"/>
      <c r="Y196" s="58"/>
    </row>
    <row r="197" spans="1:25" s="304" customFormat="1" ht="12.75">
      <c r="A197" s="394"/>
      <c r="C197" s="425"/>
      <c r="D197" s="141"/>
      <c r="E197" s="141"/>
      <c r="F197" s="141"/>
      <c r="G197" s="141"/>
      <c r="H197" s="141"/>
      <c r="I197" s="141"/>
      <c r="J197" s="141"/>
      <c r="V197" s="58"/>
      <c r="W197" s="58"/>
      <c r="X197" s="58"/>
      <c r="Y197" s="58"/>
    </row>
    <row r="198" spans="1:25" s="304" customFormat="1" ht="12.75">
      <c r="A198" s="394" t="s">
        <v>159</v>
      </c>
      <c r="C198" s="425"/>
      <c r="D198" s="141"/>
      <c r="E198" s="141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V198" s="58"/>
      <c r="W198" s="58"/>
      <c r="X198" s="58"/>
      <c r="Y198" s="58"/>
    </row>
    <row r="199" spans="1:25" s="304" customFormat="1" ht="12.75">
      <c r="A199" s="382" t="s">
        <v>6</v>
      </c>
      <c r="C199" s="425"/>
      <c r="D199" s="141">
        <f>Data!C$101</f>
        <v>31.163</v>
      </c>
      <c r="E199" s="141">
        <f>Data!D$101</f>
        <v>33.192</v>
      </c>
      <c r="F199" s="390">
        <f>Data!E$101</f>
        <v>33.378</v>
      </c>
      <c r="G199" s="390">
        <f>Data!F$101</f>
        <v>35.564</v>
      </c>
      <c r="H199" s="390">
        <f>Data!G$101</f>
        <v>44.813</v>
      </c>
      <c r="I199" s="390">
        <f>Data!H$101</f>
        <v>49.723</v>
      </c>
      <c r="J199" s="390">
        <f>Data!I$101</f>
        <v>55.059</v>
      </c>
      <c r="K199" s="303">
        <f aca="true" t="shared" si="109" ref="K199:T199">SUM(J$199,J$200)+(K$33-J$33)-(K$35-J$35)-K$23-K$200</f>
        <v>60.99437933187036</v>
      </c>
      <c r="L199" s="303">
        <f t="shared" si="109"/>
        <v>66.99179799537649</v>
      </c>
      <c r="M199" s="303">
        <f t="shared" si="109"/>
        <v>72.52960629577939</v>
      </c>
      <c r="N199" s="303">
        <f t="shared" si="109"/>
        <v>77.40418486100889</v>
      </c>
      <c r="O199" s="303">
        <f t="shared" si="109"/>
        <v>81.52851116778601</v>
      </c>
      <c r="P199" s="303">
        <f t="shared" si="109"/>
        <v>84.80383870132613</v>
      </c>
      <c r="Q199" s="303">
        <f t="shared" si="109"/>
        <v>87.04942383433834</v>
      </c>
      <c r="R199" s="303">
        <f t="shared" si="109"/>
        <v>88.7501668190053</v>
      </c>
      <c r="S199" s="303">
        <f t="shared" si="109"/>
        <v>89.84147794100139</v>
      </c>
      <c r="T199" s="303">
        <f t="shared" si="109"/>
        <v>90.2760370978778</v>
      </c>
      <c r="V199" s="58"/>
      <c r="W199" s="58"/>
      <c r="X199" s="58"/>
      <c r="Y199" s="58"/>
    </row>
    <row r="200" spans="1:25" s="304" customFormat="1" ht="12.75">
      <c r="A200" s="389" t="s">
        <v>157</v>
      </c>
      <c r="C200" s="425"/>
      <c r="D200" s="247">
        <f>Data!C$93-Data!C$101</f>
        <v>4.729000000000003</v>
      </c>
      <c r="E200" s="247">
        <f>Data!D$93-Data!D$101</f>
        <v>4.143999999999998</v>
      </c>
      <c r="F200" s="224">
        <f>Data!E$93-Data!E$101</f>
        <v>4.414999999999999</v>
      </c>
      <c r="G200" s="224">
        <f>Data!F$93-Data!F$101</f>
        <v>4.4339999999999975</v>
      </c>
      <c r="H200" s="224">
        <f>Data!G$93-Data!G$101</f>
        <v>4.481999999999999</v>
      </c>
      <c r="I200" s="224">
        <f>Data!H$93-Data!H$101</f>
        <v>4.225999999999999</v>
      </c>
      <c r="J200" s="224">
        <f>Data!I$93-Data!I$101</f>
        <v>3.7550000000000026</v>
      </c>
      <c r="K200" s="303">
        <f aca="true" t="shared" si="110" ref="K200:T200">SUM(J$200,(K$126-K$127)-(J$126-J$127),(K$135-K$136)-(J$135-J$136))</f>
        <v>4.543186636115866</v>
      </c>
      <c r="L200" s="303">
        <f>SUM(K$200,(L$126-L$127)-(K$126-K$127),(L$135-L$136)-(K$135-K$136))</f>
        <v>4.765891623370336</v>
      </c>
      <c r="M200" s="303">
        <f t="shared" si="110"/>
        <v>5.002683435028721</v>
      </c>
      <c r="N200" s="303">
        <f t="shared" si="110"/>
        <v>5.254454331408115</v>
      </c>
      <c r="O200" s="303">
        <f t="shared" si="110"/>
        <v>5.522153170879773</v>
      </c>
      <c r="P200" s="303">
        <f t="shared" si="110"/>
        <v>5.806789005534271</v>
      </c>
      <c r="Q200" s="303">
        <f t="shared" si="110"/>
        <v>6.109434905649306</v>
      </c>
      <c r="R200" s="303">
        <f t="shared" si="110"/>
        <v>6.431232027544428</v>
      </c>
      <c r="S200" s="303">
        <f t="shared" si="110"/>
        <v>6.773393940338107</v>
      </c>
      <c r="T200" s="303">
        <f t="shared" si="110"/>
        <v>7.137211228113549</v>
      </c>
      <c r="V200" s="58"/>
      <c r="W200" s="58"/>
      <c r="X200" s="58"/>
      <c r="Y200" s="58"/>
    </row>
    <row r="201" spans="1:25" s="304" customFormat="1" ht="12.75">
      <c r="A201" s="382" t="s">
        <v>160</v>
      </c>
      <c r="C201" s="425"/>
      <c r="D201" s="141">
        <f aca="true" t="shared" si="111" ref="D201:T201">SUM(D$199,D$200)</f>
        <v>35.892</v>
      </c>
      <c r="E201" s="141">
        <f t="shared" si="111"/>
        <v>37.336</v>
      </c>
      <c r="F201" s="390">
        <f t="shared" si="111"/>
        <v>37.793</v>
      </c>
      <c r="G201" s="390">
        <f t="shared" si="111"/>
        <v>39.998</v>
      </c>
      <c r="H201" s="390">
        <f t="shared" si="111"/>
        <v>49.295</v>
      </c>
      <c r="I201" s="390">
        <f t="shared" si="111"/>
        <v>53.949</v>
      </c>
      <c r="J201" s="390">
        <f t="shared" si="111"/>
        <v>58.814</v>
      </c>
      <c r="K201" s="148">
        <f t="shared" si="111"/>
        <v>65.53756596798623</v>
      </c>
      <c r="L201" s="148">
        <f t="shared" si="111"/>
        <v>71.75768961874682</v>
      </c>
      <c r="M201" s="148">
        <f t="shared" si="111"/>
        <v>77.5322897308081</v>
      </c>
      <c r="N201" s="148">
        <f t="shared" si="111"/>
        <v>82.658639192417</v>
      </c>
      <c r="O201" s="148">
        <f t="shared" si="111"/>
        <v>87.05066433866578</v>
      </c>
      <c r="P201" s="148">
        <f t="shared" si="111"/>
        <v>90.6106277068604</v>
      </c>
      <c r="Q201" s="148">
        <f t="shared" si="111"/>
        <v>93.15885873998765</v>
      </c>
      <c r="R201" s="148">
        <f t="shared" si="111"/>
        <v>95.18139884654973</v>
      </c>
      <c r="S201" s="148">
        <f t="shared" si="111"/>
        <v>96.6148718813395</v>
      </c>
      <c r="T201" s="148">
        <f t="shared" si="111"/>
        <v>97.41324832599135</v>
      </c>
      <c r="V201" s="58"/>
      <c r="W201" s="58"/>
      <c r="X201" s="58"/>
      <c r="Y201" s="58"/>
    </row>
    <row r="202" spans="1:25" s="304" customFormat="1" ht="12.75">
      <c r="A202" s="389" t="s">
        <v>792</v>
      </c>
      <c r="C202" s="425"/>
      <c r="D202" s="247">
        <f>Data!C$94</f>
        <v>0.913</v>
      </c>
      <c r="E202" s="247">
        <f>Data!D$94</f>
        <v>0.409</v>
      </c>
      <c r="F202" s="224">
        <f>Data!E$94</f>
        <v>0.649</v>
      </c>
      <c r="G202" s="224">
        <f>Data!F$94</f>
        <v>0.757</v>
      </c>
      <c r="H202" s="224">
        <f>Data!G$94</f>
        <v>0.881</v>
      </c>
      <c r="I202" s="224">
        <f>Data!H$94</f>
        <v>1.032</v>
      </c>
      <c r="J202" s="224">
        <f>Data!I$94</f>
        <v>1.207</v>
      </c>
      <c r="K202" s="303">
        <f>K120-K119</f>
        <v>1.0395738410929098</v>
      </c>
      <c r="L202" s="303">
        <f aca="true" t="shared" si="112" ref="L202:T202">L120-L119</f>
        <v>1.167683865040587</v>
      </c>
      <c r="M202" s="303">
        <f t="shared" si="112"/>
        <v>1.3029083061740039</v>
      </c>
      <c r="N202" s="303">
        <f t="shared" si="112"/>
        <v>1.4469531073370163</v>
      </c>
      <c r="O202" s="303">
        <f t="shared" si="112"/>
        <v>1.600090671110543</v>
      </c>
      <c r="P202" s="303">
        <f t="shared" si="112"/>
        <v>1.762093096137761</v>
      </c>
      <c r="Q202" s="303">
        <f t="shared" si="112"/>
        <v>1.9328467015996011</v>
      </c>
      <c r="R202" s="303">
        <f t="shared" si="112"/>
        <v>2.109990709868484</v>
      </c>
      <c r="S202" s="303">
        <f t="shared" si="112"/>
        <v>2.2931463687821037</v>
      </c>
      <c r="T202" s="303">
        <f t="shared" si="112"/>
        <v>2.481421003519486</v>
      </c>
      <c r="V202" s="139"/>
      <c r="W202" s="139"/>
      <c r="X202" s="139"/>
      <c r="Y202" s="139"/>
    </row>
    <row r="203" spans="1:25" ht="12.75">
      <c r="A203" s="382" t="s">
        <v>161</v>
      </c>
      <c r="B203" s="330"/>
      <c r="C203" s="395"/>
      <c r="D203" s="397">
        <f aca="true" t="shared" si="113" ref="D203:T203">SUM(D$201,D$202)</f>
        <v>36.805</v>
      </c>
      <c r="E203" s="397">
        <f t="shared" si="113"/>
        <v>37.745</v>
      </c>
      <c r="F203" s="390">
        <f t="shared" si="113"/>
        <v>38.442</v>
      </c>
      <c r="G203" s="390">
        <f t="shared" si="113"/>
        <v>40.754999999999995</v>
      </c>
      <c r="H203" s="390">
        <f t="shared" si="113"/>
        <v>50.176</v>
      </c>
      <c r="I203" s="390">
        <f t="shared" si="113"/>
        <v>54.980999999999995</v>
      </c>
      <c r="J203" s="390">
        <f t="shared" si="113"/>
        <v>60.021</v>
      </c>
      <c r="K203" s="398">
        <f t="shared" si="113"/>
        <v>66.57713980907914</v>
      </c>
      <c r="L203" s="398">
        <f>SUM(L$201,L$202)</f>
        <v>72.92537348378741</v>
      </c>
      <c r="M203" s="398">
        <f t="shared" si="113"/>
        <v>78.8351980369821</v>
      </c>
      <c r="N203" s="398">
        <f t="shared" si="113"/>
        <v>84.10559229975402</v>
      </c>
      <c r="O203" s="398">
        <f t="shared" si="113"/>
        <v>88.65075500977633</v>
      </c>
      <c r="P203" s="398">
        <f t="shared" si="113"/>
        <v>92.37272080299816</v>
      </c>
      <c r="Q203" s="398">
        <f t="shared" si="113"/>
        <v>95.09170544158725</v>
      </c>
      <c r="R203" s="398">
        <f t="shared" si="113"/>
        <v>97.29138955641821</v>
      </c>
      <c r="S203" s="398">
        <f t="shared" si="113"/>
        <v>98.9080182501216</v>
      </c>
      <c r="T203" s="398">
        <f t="shared" si="113"/>
        <v>99.89466932951083</v>
      </c>
      <c r="V203" s="58"/>
      <c r="W203" s="58"/>
      <c r="X203" s="58"/>
      <c r="Y203" s="58"/>
    </row>
    <row r="204" spans="1:25" ht="12.75">
      <c r="A204" s="46"/>
      <c r="C204" s="105"/>
      <c r="D204" s="101"/>
      <c r="E204" s="101"/>
      <c r="F204" s="293"/>
      <c r="G204" s="293"/>
      <c r="H204" s="293"/>
      <c r="I204" s="293"/>
      <c r="J204" s="293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V204" s="58"/>
      <c r="W204" s="58"/>
      <c r="X204" s="58"/>
      <c r="Y204" s="58"/>
    </row>
    <row r="205" spans="1:25" ht="12.75">
      <c r="A205" s="150" t="s">
        <v>813</v>
      </c>
      <c r="C205" s="105"/>
      <c r="D205" s="99">
        <f>Data!C$77+Data!C202-1.6</f>
        <v>6.112</v>
      </c>
      <c r="E205" s="99">
        <f>Data!D$77+Data!D202-1.6</f>
        <v>6.355</v>
      </c>
      <c r="F205" s="289">
        <f>Data!E$77+Data!E202-1.6</f>
        <v>6.355</v>
      </c>
      <c r="G205" s="289">
        <f>Data!F$77+Data!F202-1.6</f>
        <v>6.355</v>
      </c>
      <c r="H205" s="289">
        <f>Data!G$77+Data!G202-1.6</f>
        <v>6.355</v>
      </c>
      <c r="I205" s="289">
        <f>Data!H$77+Data!H202-1.6</f>
        <v>6.355</v>
      </c>
      <c r="J205" s="289">
        <f>Data!I$77+Data!I202-1.6</f>
        <v>6.355</v>
      </c>
      <c r="K205" s="104">
        <f ca="1">OFFSET(Scenarios!$A$46,0,$C$1)</f>
        <v>6.355</v>
      </c>
      <c r="L205" s="104">
        <f ca="1">OFFSET(Scenarios!$A$46,0,$C$1)</f>
        <v>6.355</v>
      </c>
      <c r="M205" s="104">
        <f ca="1">OFFSET(Scenarios!$A$46,0,$C$1)</f>
        <v>6.355</v>
      </c>
      <c r="N205" s="104">
        <f ca="1">OFFSET(Scenarios!$A$46,0,$C$1)</f>
        <v>6.355</v>
      </c>
      <c r="O205" s="104">
        <f ca="1">OFFSET(Scenarios!$A$46,0,$C$1)</f>
        <v>6.355</v>
      </c>
      <c r="P205" s="104">
        <f ca="1">OFFSET(Scenarios!$A$46,0,$C$1)</f>
        <v>6.355</v>
      </c>
      <c r="Q205" s="104">
        <f ca="1">OFFSET(Scenarios!$A$46,0,$C$1)</f>
        <v>6.355</v>
      </c>
      <c r="R205" s="104">
        <f ca="1">OFFSET(Scenarios!$A$46,0,$C$1)</f>
        <v>6.355</v>
      </c>
      <c r="S205" s="104">
        <f ca="1">OFFSET(Scenarios!$A$46,0,$C$1)</f>
        <v>6.355</v>
      </c>
      <c r="T205" s="104">
        <f ca="1">OFFSET(Scenarios!$A$46,0,$C$1)</f>
        <v>6.355</v>
      </c>
      <c r="V205" s="58"/>
      <c r="W205" s="58"/>
      <c r="X205" s="58"/>
      <c r="Y205" s="58"/>
    </row>
    <row r="206" spans="1:25" ht="12.75">
      <c r="A206" s="150" t="s">
        <v>814</v>
      </c>
      <c r="B206" s="105"/>
      <c r="C206" s="105"/>
      <c r="D206" s="99">
        <f aca="true" t="shared" si="114" ref="D206:J206">C$206</f>
        <v>0</v>
      </c>
      <c r="E206" s="99">
        <f t="shared" si="114"/>
        <v>0</v>
      </c>
      <c r="F206" s="289">
        <f t="shared" si="114"/>
        <v>0</v>
      </c>
      <c r="G206" s="289">
        <f t="shared" si="114"/>
        <v>0</v>
      </c>
      <c r="H206" s="289">
        <f t="shared" si="114"/>
        <v>0</v>
      </c>
      <c r="I206" s="289">
        <f t="shared" si="114"/>
        <v>0</v>
      </c>
      <c r="J206" s="289">
        <f t="shared" si="114"/>
        <v>0</v>
      </c>
      <c r="K206" s="104">
        <f ca="1">IF(OFFSET(Scenarios!$A$43,0,$C$1)="Yes",MAX(MIN(OFFSET(Scenarios!$A$44,0,$C$1)-SUM($H$206:J$206),SUM(K$157,K$163,K$167,K$171,K$175,K$182)-SUM(J$157,J$163,J$167,J$171,J$182)-(K$35-J$35)-K$23+K$120-J$120),0),0)</f>
        <v>0</v>
      </c>
      <c r="L206" s="104">
        <f ca="1">IF(OFFSET(Scenarios!$A$43,0,$C$1)="Yes",MAX(MIN(OFFSET(Scenarios!$A$44,0,$C$1)-SUM($H$206:K$206),SUM(L$157,L$163,L$167,L$171,L$175,L$182)-SUM(K$157,K$163,K$167,K$171,K$182)-(L$35-K$35)-L$23+L$120-K$120),0),0)</f>
        <v>0</v>
      </c>
      <c r="M206" s="104">
        <f ca="1">IF(OFFSET(Scenarios!$A$43,0,$C$1)="Yes",MAX(MIN(OFFSET(Scenarios!$A$44,0,$C$1)-SUM($H$206:L$206),SUM(M$157,M$163,M$167,M$171,M$175,M$182)-SUM(L$157,L$163,L$167,L$171,L$182)-(M$35-L$35)-M$23+M$120-L$120),0),0)</f>
        <v>0</v>
      </c>
      <c r="N206" s="104">
        <f ca="1">IF(OFFSET(Scenarios!$A$43,0,$C$1)="Yes",MAX(MIN(OFFSET(Scenarios!$A$44,0,$C$1)-SUM($H$206:M$206),SUM(N$157,N$163,N$167,N$171,N$175,N$182)-SUM(M$157,M$163,M$167,M$171,M$182)-(N$35-M$35)-N$23+N$120-M$120),0),0)</f>
        <v>0</v>
      </c>
      <c r="O206" s="104">
        <f ca="1">IF(OFFSET(Scenarios!$A$43,0,$C$1)="Yes",MAX(MIN(OFFSET(Scenarios!$A$44,0,$C$1)-SUM($H$206:N$206),SUM(O$157,O$163,O$167,O$171,O$175,O$182)-SUM(N$157,N$163,N$167,N$171,N$182)-(O$35-N$35)-O$23+O$120-N$120),0),0)</f>
        <v>0</v>
      </c>
      <c r="P206" s="104">
        <f ca="1">IF(OFFSET(Scenarios!$A$43,0,$C$1)="Yes",MAX(MIN(OFFSET(Scenarios!$A$44,0,$C$1)-SUM($H$206:O$206),SUM(P$157,P$163,P$167,P$171,P$175,P$182)-SUM(O$157,O$163,O$167,O$171,O$182)-(P$35-O$35)-P$23+P$120-O$120),0),0)</f>
        <v>0</v>
      </c>
      <c r="Q206" s="104">
        <f ca="1">IF(OFFSET(Scenarios!$A$43,0,$C$1)="Yes",MAX(MIN(OFFSET(Scenarios!$A$44,0,$C$1)-SUM($H$206:P$206),SUM(Q$157,Q$163,Q$167,Q$171,Q$175,Q$182)-SUM(P$157,P$163,P$167,P$171,P$182)-(Q$35-P$35)-Q$23+Q$120-P$120),0),0)</f>
        <v>0</v>
      </c>
      <c r="R206" s="104">
        <f ca="1">IF(OFFSET(Scenarios!$A$43,0,$C$1)="Yes",MAX(MIN(OFFSET(Scenarios!$A$44,0,$C$1)-SUM($H$206:Q$206),SUM(R$157,R$163,R$167,R$171,R$175,R$182)-SUM(Q$157,Q$163,Q$167,Q$171,Q$182)-(R$35-Q$35)-R$23+R$120-Q$120),0),0)</f>
        <v>0</v>
      </c>
      <c r="S206" s="104">
        <f ca="1">IF(OFFSET(Scenarios!$A$43,0,$C$1)="Yes",MAX(MIN(OFFSET(Scenarios!$A$44,0,$C$1)-SUM($H$206:R$206),SUM(S$157,S$163,S$167,S$171,S$175,S$182)-SUM(R$157,R$163,R$167,R$171,R$182)-(S$35-R$35)-S$23+S$120-R$120),0),0)</f>
        <v>0</v>
      </c>
      <c r="T206" s="104">
        <f ca="1">IF(OFFSET(Scenarios!$A$43,0,$C$1)="Yes",MAX(MIN(OFFSET(Scenarios!$A$44,0,$C$1)-SUM($H$206:S$206),SUM(T$157,T$163,T$167,T$171,T$175,T$182)-SUM(S$157,S$163,S$167,S$171,S$182)-(T$35-S$35)-T$23+T$120-S$120),0),0)</f>
        <v>0</v>
      </c>
      <c r="V206" s="58"/>
      <c r="W206" s="58"/>
      <c r="X206" s="58"/>
      <c r="Y206" s="58"/>
    </row>
    <row r="207" spans="1:25" ht="12.75">
      <c r="A207" s="150"/>
      <c r="C207" s="105"/>
      <c r="F207" s="289"/>
      <c r="G207" s="289"/>
      <c r="H207" s="289"/>
      <c r="I207" s="289"/>
      <c r="J207" s="289"/>
      <c r="V207" s="58"/>
      <c r="W207" s="58"/>
      <c r="X207" s="58"/>
      <c r="Y207" s="58"/>
    </row>
    <row r="208" spans="1:25" ht="15.75">
      <c r="A208" s="383" t="s">
        <v>124</v>
      </c>
      <c r="B208" s="304"/>
      <c r="C208" s="387"/>
      <c r="D208" s="387"/>
      <c r="E208" s="387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V208" s="58"/>
      <c r="W208" s="58"/>
      <c r="X208" s="58"/>
      <c r="Y208" s="58"/>
    </row>
    <row r="209" spans="1:20" ht="12.75">
      <c r="A209" s="382" t="s">
        <v>604</v>
      </c>
      <c r="B209" s="304"/>
      <c r="C209" s="387"/>
      <c r="D209" s="247">
        <f>Data!C$205</f>
        <v>131.562</v>
      </c>
      <c r="E209" s="247">
        <f>Data!D$205</f>
        <v>134.60788961964735</v>
      </c>
      <c r="F209" s="224">
        <f>Data!E$205</f>
        <v>134.8398687425332</v>
      </c>
      <c r="G209" s="224">
        <f>Data!F$205</f>
        <v>137.931742601089</v>
      </c>
      <c r="H209" s="224">
        <f>Data!G$205</f>
        <v>142.60943094334755</v>
      </c>
      <c r="I209" s="224">
        <f>Data!H$205</f>
        <v>147.4449609185727</v>
      </c>
      <c r="J209" s="224">
        <f>Data!I$205</f>
        <v>151.97579280481264</v>
      </c>
      <c r="K209" s="303">
        <f aca="true" t="shared" si="115" ref="K209:S209">J$209*(1+K$230)*(K$222*(1-K$225)*K$228)/(J$222*(1-J$225)*J$228)</f>
        <v>155.7072851276068</v>
      </c>
      <c r="L209" s="303">
        <f t="shared" si="115"/>
        <v>159.55936715279128</v>
      </c>
      <c r="M209" s="303">
        <f t="shared" si="115"/>
        <v>163.46417232581345</v>
      </c>
      <c r="N209" s="303">
        <f t="shared" si="115"/>
        <v>167.31129941186265</v>
      </c>
      <c r="O209" s="303">
        <f t="shared" si="115"/>
        <v>170.99178438317227</v>
      </c>
      <c r="P209" s="303">
        <f t="shared" si="115"/>
        <v>174.70498302301044</v>
      </c>
      <c r="Q209" s="303">
        <f t="shared" si="115"/>
        <v>178.45868881651336</v>
      </c>
      <c r="R209" s="303">
        <f t="shared" si="115"/>
        <v>182.23908132566544</v>
      </c>
      <c r="S209" s="303">
        <f t="shared" si="115"/>
        <v>186.0952236302062</v>
      </c>
      <c r="T209" s="303">
        <f>S$209*(1+T$230)*(T$222*(1-T$225)*T$228)/(S$222*(1-S$225)*S$228)</f>
        <v>189.93923111654846</v>
      </c>
    </row>
    <row r="210" spans="1:20" ht="12.75">
      <c r="A210" s="399" t="s">
        <v>583</v>
      </c>
      <c r="B210" s="304"/>
      <c r="C210" s="387"/>
      <c r="D210" s="388"/>
      <c r="E210" s="388">
        <f aca="true" t="shared" si="116" ref="E210:S210">E$209/D$209-1</f>
        <v>0.023151743053825058</v>
      </c>
      <c r="F210" s="400">
        <f t="shared" si="116"/>
        <v>0.0017233694365266228</v>
      </c>
      <c r="G210" s="400">
        <f t="shared" si="116"/>
        <v>0.022929967875150448</v>
      </c>
      <c r="H210" s="400">
        <f t="shared" si="116"/>
        <v>0.033913066376510814</v>
      </c>
      <c r="I210" s="400">
        <f t="shared" si="116"/>
        <v>0.03390750487705185</v>
      </c>
      <c r="J210" s="400">
        <f t="shared" si="116"/>
        <v>0.030728970715670156</v>
      </c>
      <c r="K210" s="401">
        <f t="shared" si="116"/>
        <v>0.024553201887794307</v>
      </c>
      <c r="L210" s="401">
        <f t="shared" si="116"/>
        <v>0.02473925367093499</v>
      </c>
      <c r="M210" s="401">
        <f t="shared" si="116"/>
        <v>0.024472428304901594</v>
      </c>
      <c r="N210" s="401">
        <f t="shared" si="116"/>
        <v>0.023534986482427467</v>
      </c>
      <c r="O210" s="401">
        <f t="shared" si="116"/>
        <v>0.021997826711330104</v>
      </c>
      <c r="P210" s="401">
        <f t="shared" si="116"/>
        <v>0.021715655247607213</v>
      </c>
      <c r="Q210" s="401">
        <f t="shared" si="116"/>
        <v>0.02148596868017516</v>
      </c>
      <c r="R210" s="401">
        <f t="shared" si="116"/>
        <v>0.021183572143349094</v>
      </c>
      <c r="S210" s="401">
        <f t="shared" si="116"/>
        <v>0.02115979885593111</v>
      </c>
      <c r="T210" s="401">
        <f>T$209/S$209-1</f>
        <v>0.020656131905785857</v>
      </c>
    </row>
    <row r="211" spans="1:20" s="108" customFormat="1" ht="12.75">
      <c r="A211" s="382" t="s">
        <v>555</v>
      </c>
      <c r="B211" s="304"/>
      <c r="C211" s="387"/>
      <c r="D211" s="247">
        <f>Data!C$206</f>
        <v>168.672</v>
      </c>
      <c r="E211" s="247">
        <f>Data!D$206</f>
        <v>180.0773001920602</v>
      </c>
      <c r="F211" s="224">
        <f>Data!E$206</f>
        <v>184.3896229064544</v>
      </c>
      <c r="G211" s="224">
        <f>Data!F$206</f>
        <v>190.71261622062738</v>
      </c>
      <c r="H211" s="224">
        <f>Data!G$206</f>
        <v>199.88097132242692</v>
      </c>
      <c r="I211" s="224">
        <f>Data!H$206</f>
        <v>210.20457981796744</v>
      </c>
      <c r="J211" s="224">
        <f>Data!I$206</f>
        <v>220.57390730090705</v>
      </c>
      <c r="K211" s="303">
        <v>230.0593453767107</v>
      </c>
      <c r="L211" s="303">
        <v>239.20214632728838</v>
      </c>
      <c r="M211" s="303">
        <v>249.57440034361113</v>
      </c>
      <c r="N211" s="303">
        <v>261.35573117279864</v>
      </c>
      <c r="O211" s="303">
        <v>273.3879696745159</v>
      </c>
      <c r="P211" s="303">
        <v>285.6767502593559</v>
      </c>
      <c r="Q211" s="303">
        <v>298.2510089829889</v>
      </c>
      <c r="R211" s="303">
        <v>311.1077878770534</v>
      </c>
      <c r="S211" s="303">
        <v>324.38679997953125</v>
      </c>
      <c r="T211" s="303">
        <v>337.7091240385724</v>
      </c>
    </row>
    <row r="212" spans="1:20" ht="12.75">
      <c r="A212" s="399" t="s">
        <v>583</v>
      </c>
      <c r="B212" s="304"/>
      <c r="C212" s="387"/>
      <c r="D212" s="388"/>
      <c r="E212" s="388">
        <f aca="true" t="shared" si="117" ref="E212:S212">E$211/D$211-1</f>
        <v>0.0676182187444283</v>
      </c>
      <c r="F212" s="400">
        <f t="shared" si="117"/>
        <v>0.02394706445395922</v>
      </c>
      <c r="G212" s="400">
        <f t="shared" si="117"/>
        <v>0.03429148134535098</v>
      </c>
      <c r="H212" s="400">
        <f t="shared" si="117"/>
        <v>0.04807419290600601</v>
      </c>
      <c r="I212" s="400">
        <f t="shared" si="117"/>
        <v>0.05164878090815139</v>
      </c>
      <c r="J212" s="400">
        <f t="shared" si="117"/>
        <v>0.04932969344397353</v>
      </c>
      <c r="K212" s="401">
        <f t="shared" si="117"/>
        <v>0.04300344583760585</v>
      </c>
      <c r="L212" s="401">
        <f>L$211/K$211-1</f>
        <v>0.03974105435972097</v>
      </c>
      <c r="M212" s="401">
        <f t="shared" si="117"/>
        <v>0.043361876870999794</v>
      </c>
      <c r="N212" s="401">
        <f t="shared" si="117"/>
        <v>0.04720568621207599</v>
      </c>
      <c r="O212" s="401">
        <f t="shared" si="117"/>
        <v>0.04603778324555652</v>
      </c>
      <c r="P212" s="401">
        <f t="shared" si="117"/>
        <v>0.0449499683525596</v>
      </c>
      <c r="Q212" s="401">
        <f t="shared" si="117"/>
        <v>0.04401568805377831</v>
      </c>
      <c r="R212" s="401">
        <f t="shared" si="117"/>
        <v>0.043107243586216315</v>
      </c>
      <c r="S212" s="401">
        <f t="shared" si="117"/>
        <v>0.042682994833049825</v>
      </c>
      <c r="T212" s="401">
        <f>T$211/S$211-1</f>
        <v>0.041069254543901756</v>
      </c>
    </row>
    <row r="213" ht="12.75">
      <c r="A213" s="51" t="s">
        <v>571</v>
      </c>
    </row>
    <row r="214" spans="1:20" ht="12.75">
      <c r="A214" s="50" t="s">
        <v>556</v>
      </c>
      <c r="D214" s="250">
        <f>Data!C$207</f>
        <v>1020</v>
      </c>
      <c r="E214" s="250">
        <f>Data!D$207</f>
        <v>1061</v>
      </c>
      <c r="F214" s="405">
        <f>Data!E$207</f>
        <v>1097.159</v>
      </c>
      <c r="G214" s="405">
        <f>Data!F$207</f>
        <v>1121.972</v>
      </c>
      <c r="H214" s="405">
        <f>Data!G$207</f>
        <v>1148.946</v>
      </c>
      <c r="I214" s="405">
        <f>Data!H$207</f>
        <v>1177.13</v>
      </c>
      <c r="J214" s="405">
        <f>Data!I$207</f>
        <v>1205.625</v>
      </c>
      <c r="K214" s="240">
        <f aca="true" t="shared" si="118" ref="K214:S214">J$214*(1+K$215)</f>
        <v>1232.3985336475155</v>
      </c>
      <c r="L214" s="240">
        <f t="shared" si="118"/>
        <v>1257.301834958871</v>
      </c>
      <c r="M214" s="240">
        <f t="shared" si="118"/>
        <v>1282.4478716580484</v>
      </c>
      <c r="N214" s="240">
        <f t="shared" si="118"/>
        <v>1308.0968290912094</v>
      </c>
      <c r="O214" s="240">
        <f t="shared" si="118"/>
        <v>1334.2587656730336</v>
      </c>
      <c r="P214" s="240">
        <f t="shared" si="118"/>
        <v>1360.9439409864942</v>
      </c>
      <c r="Q214" s="240">
        <f t="shared" si="118"/>
        <v>1388.1628198062242</v>
      </c>
      <c r="R214" s="240">
        <f t="shared" si="118"/>
        <v>1415.9260762023487</v>
      </c>
      <c r="S214" s="240">
        <f t="shared" si="118"/>
        <v>1444.2445977263956</v>
      </c>
      <c r="T214" s="240">
        <f>S$214*(1+T$215)</f>
        <v>1473.1294896809236</v>
      </c>
    </row>
    <row r="215" spans="1:20" ht="12.75">
      <c r="A215" s="231" t="s">
        <v>583</v>
      </c>
      <c r="B215" s="108"/>
      <c r="C215" s="251"/>
      <c r="D215" s="341"/>
      <c r="E215" s="341">
        <f aca="true" t="shared" si="119" ref="E215:J215">E$214/D$214-1</f>
        <v>0.04019607843137263</v>
      </c>
      <c r="F215" s="342">
        <f t="shared" si="119"/>
        <v>0.03408011310084835</v>
      </c>
      <c r="G215" s="342">
        <f t="shared" si="119"/>
        <v>0.022615682868207587</v>
      </c>
      <c r="H215" s="342">
        <f t="shared" si="119"/>
        <v>0.024041598186050894</v>
      </c>
      <c r="I215" s="342">
        <f t="shared" si="119"/>
        <v>0.024530308648100352</v>
      </c>
      <c r="J215" s="342">
        <f t="shared" si="119"/>
        <v>0.02420718187455928</v>
      </c>
      <c r="K215" s="343">
        <f ca="1">IF(J$215&lt;OFFSET(Scenarios!$A$7,0,$C$1),MIN(J$215+OFFSET(Scenarios!$A$13,0,$C$1),OFFSET(Scenarios!$A$7,0,$C$1)),MAX(J$215-OFFSET(Scenarios!$A$13,0,$C$1),OFFSET(Scenarios!$A$7,0,$C$1)))</f>
        <v>0.02220718187455928</v>
      </c>
      <c r="L215" s="343">
        <f ca="1">IF(K$215&lt;OFFSET(Scenarios!$A$7,0,$C$1),MIN(K$215+OFFSET(Scenarios!$A$13,0,$C$1),OFFSET(Scenarios!$A$7,0,$C$1)),MAX(K$215-OFFSET(Scenarios!$A$13,0,$C$1),OFFSET(Scenarios!$A$7,0,$C$1)))</f>
        <v>0.020207181874559277</v>
      </c>
      <c r="M215" s="343">
        <f ca="1">IF(L$215&lt;OFFSET(Scenarios!$A$7,0,$C$1),MIN(L$215+OFFSET(Scenarios!$A$13,0,$C$1),OFFSET(Scenarios!$A$7,0,$C$1)),MAX(L$215-OFFSET(Scenarios!$A$13,0,$C$1),OFFSET(Scenarios!$A$7,0,$C$1)))</f>
        <v>0.02</v>
      </c>
      <c r="N215" s="343">
        <f ca="1">IF(M$215&lt;OFFSET(Scenarios!$A$7,0,$C$1),MIN(M$215+OFFSET(Scenarios!$A$13,0,$C$1),OFFSET(Scenarios!$A$7,0,$C$1)),MAX(M$215-OFFSET(Scenarios!$A$13,0,$C$1),OFFSET(Scenarios!$A$7,0,$C$1)))</f>
        <v>0.02</v>
      </c>
      <c r="O215" s="343">
        <f ca="1">IF(N$215&lt;OFFSET(Scenarios!$A$7,0,$C$1),MIN(N$215+OFFSET(Scenarios!$A$13,0,$C$1),OFFSET(Scenarios!$A$7,0,$C$1)),MAX(N$215-OFFSET(Scenarios!$A$13,0,$C$1),OFFSET(Scenarios!$A$7,0,$C$1)))</f>
        <v>0.02</v>
      </c>
      <c r="P215" s="343">
        <f ca="1">IF(O$215&lt;OFFSET(Scenarios!$A$7,0,$C$1),MIN(O$215+OFFSET(Scenarios!$A$13,0,$C$1),OFFSET(Scenarios!$A$7,0,$C$1)),MAX(O$215-OFFSET(Scenarios!$A$13,0,$C$1),OFFSET(Scenarios!$A$7,0,$C$1)))</f>
        <v>0.02</v>
      </c>
      <c r="Q215" s="343">
        <f ca="1">IF(P$215&lt;OFFSET(Scenarios!$A$7,0,$C$1),MIN(P$215+OFFSET(Scenarios!$A$13,0,$C$1),OFFSET(Scenarios!$A$7,0,$C$1)),MAX(P$215-OFFSET(Scenarios!$A$13,0,$C$1),OFFSET(Scenarios!$A$7,0,$C$1)))</f>
        <v>0.02</v>
      </c>
      <c r="R215" s="343">
        <f ca="1">IF(Q$215&lt;OFFSET(Scenarios!$A$7,0,$C$1),MIN(Q$215+OFFSET(Scenarios!$A$13,0,$C$1),OFFSET(Scenarios!$A$7,0,$C$1)),MAX(Q$215-OFFSET(Scenarios!$A$13,0,$C$1),OFFSET(Scenarios!$A$7,0,$C$1)))</f>
        <v>0.02</v>
      </c>
      <c r="S215" s="343">
        <f ca="1">IF(R$215&lt;OFFSET(Scenarios!$A$7,0,$C$1),MIN(R$215+OFFSET(Scenarios!$A$13,0,$C$1),OFFSET(Scenarios!$A$7,0,$C$1)),MAX(R$215-OFFSET(Scenarios!$A$13,0,$C$1),OFFSET(Scenarios!$A$7,0,$C$1)))</f>
        <v>0.02</v>
      </c>
      <c r="T215" s="343">
        <f ca="1">IF(S$215&lt;OFFSET(Scenarios!$A$7,0,$C$1),MIN(S$215+OFFSET(Scenarios!$A$13,0,$C$1),OFFSET(Scenarios!$A$7,0,$C$1)),MAX(S$215-OFFSET(Scenarios!$A$13,0,$C$1),OFFSET(Scenarios!$A$7,0,$C$1)))</f>
        <v>0.02</v>
      </c>
    </row>
    <row r="216" spans="1:20" ht="12.75">
      <c r="A216" s="50" t="s">
        <v>483</v>
      </c>
      <c r="B216" s="108"/>
      <c r="C216" s="251"/>
      <c r="D216" s="247">
        <f>D$211/D$209*100</f>
        <v>128.2072330916222</v>
      </c>
      <c r="E216" s="247">
        <f>E$211/E$209*100</f>
        <v>133.77915715110962</v>
      </c>
      <c r="F216" s="224">
        <f aca="true" t="shared" si="120" ref="F216:T216">F$211/F$209*100</f>
        <v>136.74710946102508</v>
      </c>
      <c r="G216" s="224">
        <f t="shared" si="120"/>
        <v>138.26593692228292</v>
      </c>
      <c r="H216" s="224">
        <f t="shared" si="120"/>
        <v>140.159714543585</v>
      </c>
      <c r="I216" s="224">
        <f t="shared" si="120"/>
        <v>142.56477705877933</v>
      </c>
      <c r="J216" s="224">
        <f t="shared" si="120"/>
        <v>145.1375269903656</v>
      </c>
      <c r="K216" s="303">
        <f t="shared" si="120"/>
        <v>147.75117631019648</v>
      </c>
      <c r="L216" s="303">
        <f t="shared" si="120"/>
        <v>149.91419845519476</v>
      </c>
      <c r="M216" s="303">
        <f t="shared" si="120"/>
        <v>152.6783495077836</v>
      </c>
      <c r="N216" s="303">
        <f t="shared" si="120"/>
        <v>156.20925310575174</v>
      </c>
      <c r="O216" s="303">
        <f t="shared" si="120"/>
        <v>159.88368719627252</v>
      </c>
      <c r="P216" s="303">
        <f t="shared" si="120"/>
        <v>163.51952034575302</v>
      </c>
      <c r="Q216" s="303">
        <f t="shared" si="120"/>
        <v>167.1260788482218</v>
      </c>
      <c r="R216" s="303">
        <f t="shared" si="120"/>
        <v>170.7140892139906</v>
      </c>
      <c r="S216" s="303">
        <f t="shared" si="120"/>
        <v>174.31226532934946</v>
      </c>
      <c r="T216" s="303">
        <f t="shared" si="120"/>
        <v>177.79851063593648</v>
      </c>
    </row>
    <row r="217" spans="1:20" ht="12.75">
      <c r="A217" s="231" t="s">
        <v>583</v>
      </c>
      <c r="B217" s="108"/>
      <c r="C217" s="251"/>
      <c r="D217" s="166"/>
      <c r="E217" s="166">
        <f aca="true" t="shared" si="121" ref="E217:T217">E216/D216-1</f>
        <v>0.04346029412791008</v>
      </c>
      <c r="F217" s="342">
        <f t="shared" si="121"/>
        <v>0.022185461271541973</v>
      </c>
      <c r="G217" s="342">
        <f t="shared" si="121"/>
        <v>0.011106834120619746</v>
      </c>
      <c r="H217" s="342">
        <f t="shared" si="121"/>
        <v>0.013696631747894372</v>
      </c>
      <c r="I217" s="342">
        <f t="shared" si="121"/>
        <v>0.01715944216229426</v>
      </c>
      <c r="J217" s="342">
        <f t="shared" si="121"/>
        <v>0.018046182126217003</v>
      </c>
      <c r="K217" s="167">
        <f t="shared" si="121"/>
        <v>0.018008087736016032</v>
      </c>
      <c r="L217" s="167">
        <f t="shared" si="121"/>
        <v>0.014639627236923802</v>
      </c>
      <c r="M217" s="167">
        <f t="shared" si="121"/>
        <v>0.01843822053596189</v>
      </c>
      <c r="N217" s="167">
        <f t="shared" si="121"/>
        <v>0.023126419753366045</v>
      </c>
      <c r="O217" s="167">
        <f t="shared" si="121"/>
        <v>0.02352251238300984</v>
      </c>
      <c r="P217" s="167">
        <f t="shared" si="121"/>
        <v>0.022740488496598044</v>
      </c>
      <c r="Q217" s="167">
        <f t="shared" si="121"/>
        <v>0.022055828532537847</v>
      </c>
      <c r="R217" s="167">
        <f t="shared" si="121"/>
        <v>0.02146888379417633</v>
      </c>
      <c r="S217" s="167">
        <f t="shared" si="121"/>
        <v>0.021077206526571635</v>
      </c>
      <c r="T217" s="167">
        <f t="shared" si="121"/>
        <v>0.02000000000000024</v>
      </c>
    </row>
    <row r="218" spans="1:20" ht="12.75">
      <c r="A218" s="50" t="s">
        <v>603</v>
      </c>
      <c r="D218" s="166">
        <f>Data!C$208</f>
        <v>0.06313433333333333</v>
      </c>
      <c r="E218" s="166">
        <f>Data!D$208</f>
        <v>0.06440033333333334</v>
      </c>
      <c r="F218" s="342">
        <f>Data!E$208</f>
        <v>0.063</v>
      </c>
      <c r="G218" s="342">
        <f>Data!F$208</f>
        <v>0.063</v>
      </c>
      <c r="H218" s="342">
        <f>Data!G$208</f>
        <v>0.062</v>
      </c>
      <c r="I218" s="342">
        <f>Data!H$208</f>
        <v>0.0605</v>
      </c>
      <c r="J218" s="342">
        <f>Data!I$208</f>
        <v>0.06</v>
      </c>
      <c r="K218" s="167">
        <f ca="1">IF(J$218&lt;OFFSET(Scenarios!$A$8,0,$C$1),MIN(J$218+OFFSET(Scenarios!$A$14,0,$C$1),OFFSET(Scenarios!$A$8,0,$C$1)),MAX(J$218-OFFSET(Scenarios!$A$14,0,$C$1),OFFSET(Scenarios!$A$8,0,$C$1)))</f>
        <v>0.06</v>
      </c>
      <c r="L218" s="167">
        <f ca="1">IF(K$218&lt;OFFSET(Scenarios!$A$8,0,$C$1),MIN(K$218+OFFSET(Scenarios!$A$14,0,$C$1),OFFSET(Scenarios!$A$8,0,$C$1)),MAX(K$218-OFFSET(Scenarios!$A$14,0,$C$1),OFFSET(Scenarios!$A$8,0,$C$1)))</f>
        <v>0.06</v>
      </c>
      <c r="M218" s="167">
        <f ca="1">IF(L$218&lt;OFFSET(Scenarios!$A$8,0,$C$1),MIN(L$218+OFFSET(Scenarios!$A$14,0,$C$1),OFFSET(Scenarios!$A$8,0,$C$1)),MAX(L$218-OFFSET(Scenarios!$A$14,0,$C$1),OFFSET(Scenarios!$A$8,0,$C$1)))</f>
        <v>0.06</v>
      </c>
      <c r="N218" s="167">
        <f ca="1">IF(M$218&lt;OFFSET(Scenarios!$A$8,0,$C$1),MIN(M$218+OFFSET(Scenarios!$A$14,0,$C$1),OFFSET(Scenarios!$A$8,0,$C$1)),MAX(M$218-OFFSET(Scenarios!$A$14,0,$C$1),OFFSET(Scenarios!$A$8,0,$C$1)))</f>
        <v>0.06</v>
      </c>
      <c r="O218" s="167">
        <f ca="1">IF(N$218&lt;OFFSET(Scenarios!$A$8,0,$C$1),MIN(N$218+OFFSET(Scenarios!$A$14,0,$C$1),OFFSET(Scenarios!$A$8,0,$C$1)),MAX(N$218-OFFSET(Scenarios!$A$14,0,$C$1),OFFSET(Scenarios!$A$8,0,$C$1)))</f>
        <v>0.06</v>
      </c>
      <c r="P218" s="167">
        <f ca="1">IF(O$218&lt;OFFSET(Scenarios!$A$8,0,$C$1),MIN(O$218+OFFSET(Scenarios!$A$14,0,$C$1),OFFSET(Scenarios!$A$8,0,$C$1)),MAX(O$218-OFFSET(Scenarios!$A$14,0,$C$1),OFFSET(Scenarios!$A$8,0,$C$1)))</f>
        <v>0.06</v>
      </c>
      <c r="Q218" s="167">
        <f ca="1">IF(P$218&lt;OFFSET(Scenarios!$A$8,0,$C$1),MIN(P$218+OFFSET(Scenarios!$A$14,0,$C$1),OFFSET(Scenarios!$A$8,0,$C$1)),MAX(P$218-OFFSET(Scenarios!$A$14,0,$C$1),OFFSET(Scenarios!$A$8,0,$C$1)))</f>
        <v>0.06</v>
      </c>
      <c r="R218" s="167">
        <f ca="1">IF(Q$218&lt;OFFSET(Scenarios!$A$8,0,$C$1),MIN(Q$218+OFFSET(Scenarios!$A$14,0,$C$1),OFFSET(Scenarios!$A$8,0,$C$1)),MAX(Q$218-OFFSET(Scenarios!$A$14,0,$C$1),OFFSET(Scenarios!$A$8,0,$C$1)))</f>
        <v>0.06</v>
      </c>
      <c r="S218" s="167">
        <f ca="1">IF(R$218&lt;OFFSET(Scenarios!$A$8,0,$C$1),MIN(R$218+OFFSET(Scenarios!$A$14,0,$C$1),OFFSET(Scenarios!$A$8,0,$C$1)),MAX(R$218-OFFSET(Scenarios!$A$14,0,$C$1),OFFSET(Scenarios!$A$8,0,$C$1)))</f>
        <v>0.06</v>
      </c>
      <c r="T218" s="167">
        <f ca="1">IF(S$218&lt;OFFSET(Scenarios!$A$8,0,$C$1),MIN(S$218+OFFSET(Scenarios!$A$14,0,$C$1),OFFSET(Scenarios!$A$8,0,$C$1)),MAX(S$218-OFFSET(Scenarios!$A$14,0,$C$1),OFFSET(Scenarios!$A$8,0,$C$1)))</f>
        <v>0.06</v>
      </c>
    </row>
    <row r="219" spans="1:20" ht="12.75">
      <c r="A219" s="51" t="s">
        <v>572</v>
      </c>
      <c r="D219" s="251"/>
      <c r="E219" s="251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</row>
    <row r="220" spans="1:20" ht="12.75">
      <c r="A220" s="50" t="s">
        <v>661</v>
      </c>
      <c r="D220" s="99">
        <f>SUM(Popn!D$24:D$99,Popn!D$118:D$193)/1000000</f>
        <v>3.33918</v>
      </c>
      <c r="E220" s="99">
        <f>SUM(Popn!E$24:E$99,Popn!E$118:E$193)/1000000</f>
        <v>3.37897</v>
      </c>
      <c r="F220" s="173">
        <f>SUM(Popn!F$24:F$99,Popn!F$118:F$193)/1000000</f>
        <v>3.4188</v>
      </c>
      <c r="G220" s="173">
        <f>SUM(Popn!G$24:G$99,Popn!G$118:G$193)/1000000</f>
        <v>3.45933</v>
      </c>
      <c r="H220" s="173">
        <f>SUM(Popn!H$24:H$99,Popn!H$118:H$193)/1000000</f>
        <v>3.49865</v>
      </c>
      <c r="I220" s="173">
        <f>SUM(Popn!I$24:I$99,Popn!I$118:I$193)/1000000</f>
        <v>3.53589</v>
      </c>
      <c r="J220" s="173">
        <f>SUM(Popn!J$24:J$99,Popn!J$118:J$193)/1000000</f>
        <v>3.57297</v>
      </c>
      <c r="K220" s="104">
        <f>SUM(Popn!K$24:K$99,Popn!K$118:K$193)/1000000</f>
        <v>3.60878</v>
      </c>
      <c r="L220" s="104">
        <f>SUM(Popn!L$24:L$99,Popn!L$118:L$193)/1000000</f>
        <v>3.64608</v>
      </c>
      <c r="M220" s="104">
        <f>SUM(Popn!M$24:M$99,Popn!M$118:M$193)/1000000</f>
        <v>3.68204</v>
      </c>
      <c r="N220" s="104">
        <f>SUM(Popn!N$24:N$99,Popn!N$118:N$193)/1000000</f>
        <v>3.71544</v>
      </c>
      <c r="O220" s="104">
        <f>SUM(Popn!O$24:O$99,Popn!O$118:O$193)/1000000</f>
        <v>3.74897</v>
      </c>
      <c r="P220" s="104">
        <f>SUM(Popn!P$24:P$99,Popn!P$118:P$193)/1000000</f>
        <v>3.78362</v>
      </c>
      <c r="Q220" s="104">
        <f>SUM(Popn!Q$24:Q$99,Popn!Q$118:Q$193)/1000000</f>
        <v>3.81774</v>
      </c>
      <c r="R220" s="104">
        <f>SUM(Popn!R$24:R$99,Popn!R$118:R$193)/1000000</f>
        <v>3.85323</v>
      </c>
      <c r="S220" s="104">
        <f>SUM(Popn!S$24:S$99,Popn!S$118:S$193)/1000000</f>
        <v>3.89066</v>
      </c>
      <c r="T220" s="104">
        <f>SUM(Popn!T$24:T$99,Popn!T$118:T$193)/1000000</f>
        <v>3.92786</v>
      </c>
    </row>
    <row r="221" spans="1:20" ht="12.75">
      <c r="A221" s="231" t="s">
        <v>583</v>
      </c>
      <c r="D221" s="166"/>
      <c r="E221" s="166">
        <f aca="true" t="shared" si="122" ref="E221:S221">E$220/D$220-1</f>
        <v>0.011916099162069704</v>
      </c>
      <c r="F221" s="342">
        <f t="shared" si="122"/>
        <v>0.011787615752729463</v>
      </c>
      <c r="G221" s="342">
        <f t="shared" si="122"/>
        <v>0.011855036855036749</v>
      </c>
      <c r="H221" s="342">
        <f t="shared" si="122"/>
        <v>0.011366362850609768</v>
      </c>
      <c r="I221" s="342">
        <f t="shared" si="122"/>
        <v>0.010644105583582197</v>
      </c>
      <c r="J221" s="342">
        <f t="shared" si="122"/>
        <v>0.010486751567497787</v>
      </c>
      <c r="K221" s="167">
        <f t="shared" si="122"/>
        <v>0.010022474300092066</v>
      </c>
      <c r="L221" s="167">
        <f t="shared" si="122"/>
        <v>0.010335902992147039</v>
      </c>
      <c r="M221" s="167">
        <f t="shared" si="122"/>
        <v>0.009862647007196745</v>
      </c>
      <c r="N221" s="167">
        <f t="shared" si="122"/>
        <v>0.009071058434998003</v>
      </c>
      <c r="O221" s="167">
        <f t="shared" si="122"/>
        <v>0.009024503154404284</v>
      </c>
      <c r="P221" s="167">
        <f t="shared" si="122"/>
        <v>0.009242538617273643</v>
      </c>
      <c r="Q221" s="167">
        <f t="shared" si="122"/>
        <v>0.009017818914161646</v>
      </c>
      <c r="R221" s="167">
        <f t="shared" si="122"/>
        <v>0.00929607568875812</v>
      </c>
      <c r="S221" s="167">
        <f t="shared" si="122"/>
        <v>0.00971392831468676</v>
      </c>
      <c r="T221" s="167">
        <f>T$220/S$220-1</f>
        <v>0.00956135976929362</v>
      </c>
    </row>
    <row r="222" spans="1:20" ht="12.75">
      <c r="A222" s="50" t="s">
        <v>662</v>
      </c>
      <c r="D222" s="99">
        <f>Data!C$209</f>
        <v>2.2168</v>
      </c>
      <c r="E222" s="99">
        <f>Data!D$209</f>
        <v>2.2395</v>
      </c>
      <c r="F222" s="173">
        <f>Data!E$209</f>
        <v>2.2595</v>
      </c>
      <c r="G222" s="173">
        <f>Data!F$209</f>
        <v>2.2726</v>
      </c>
      <c r="H222" s="173">
        <f>Data!G$209</f>
        <v>2.2874</v>
      </c>
      <c r="I222" s="173">
        <f>Data!H$209</f>
        <v>2.3119</v>
      </c>
      <c r="J222" s="173">
        <f>Data!I$209</f>
        <v>2.3438</v>
      </c>
      <c r="K222" s="104">
        <f>Popn!K$259</f>
        <v>2.365859896142476</v>
      </c>
      <c r="L222" s="104">
        <f>Popn!L$259</f>
        <v>2.3885610879438786</v>
      </c>
      <c r="M222" s="104">
        <f>Popn!M$259</f>
        <v>2.41085219499553</v>
      </c>
      <c r="N222" s="104">
        <f>Popn!N$259</f>
        <v>2.431124698340769</v>
      </c>
      <c r="O222" s="104">
        <f>Popn!O$259</f>
        <v>2.4478858701167523</v>
      </c>
      <c r="P222" s="104">
        <f>Popn!P$259</f>
        <v>2.4640820844903426</v>
      </c>
      <c r="Q222" s="104">
        <f>Popn!Q$259</f>
        <v>2.4798278571261894</v>
      </c>
      <c r="R222" s="104">
        <f>Popn!R$259</f>
        <v>2.4949354378726194</v>
      </c>
      <c r="S222" s="104">
        <f>Popn!S$259</f>
        <v>2.510076620587723</v>
      </c>
      <c r="T222" s="104">
        <f>Popn!T$259</f>
        <v>2.524064132370653</v>
      </c>
    </row>
    <row r="223" spans="1:20" ht="12.75">
      <c r="A223" s="231" t="s">
        <v>583</v>
      </c>
      <c r="D223" s="166"/>
      <c r="E223" s="166">
        <f aca="true" t="shared" si="123" ref="E223:S223">E$222/D$222-1</f>
        <v>0.01023998556477812</v>
      </c>
      <c r="F223" s="342">
        <f t="shared" si="123"/>
        <v>0.008930564858227186</v>
      </c>
      <c r="G223" s="342">
        <f t="shared" si="123"/>
        <v>0.00579774286346546</v>
      </c>
      <c r="H223" s="342">
        <f t="shared" si="123"/>
        <v>0.0065123646924225564</v>
      </c>
      <c r="I223" s="342">
        <f t="shared" si="123"/>
        <v>0.01071085074757372</v>
      </c>
      <c r="J223" s="342">
        <f t="shared" si="123"/>
        <v>0.013798174661533658</v>
      </c>
      <c r="K223" s="167">
        <f t="shared" si="123"/>
        <v>0.009412021564329853</v>
      </c>
      <c r="L223" s="167">
        <f t="shared" si="123"/>
        <v>0.009595323813728962</v>
      </c>
      <c r="M223" s="167">
        <f t="shared" si="123"/>
        <v>0.009332441679706038</v>
      </c>
      <c r="N223" s="167">
        <f t="shared" si="123"/>
        <v>0.008408853677268402</v>
      </c>
      <c r="O223" s="167">
        <f t="shared" si="123"/>
        <v>0.0068944105530344135</v>
      </c>
      <c r="P223" s="167">
        <f t="shared" si="123"/>
        <v>0.006616409110943522</v>
      </c>
      <c r="Q223" s="167">
        <f t="shared" si="123"/>
        <v>0.0063901169262807755</v>
      </c>
      <c r="R223" s="167">
        <f t="shared" si="123"/>
        <v>0.006092189303792184</v>
      </c>
      <c r="S223" s="167">
        <f t="shared" si="123"/>
        <v>0.00606876734574513</v>
      </c>
      <c r="T223" s="167">
        <f>T$222/S$222-1</f>
        <v>0.005572543749542858</v>
      </c>
    </row>
    <row r="224" spans="1:20" ht="12.75">
      <c r="A224" s="50" t="s">
        <v>585</v>
      </c>
      <c r="D224" s="166">
        <f aca="true" t="shared" si="124" ref="D224:T224">D$222/D$220</f>
        <v>0.6638755622637894</v>
      </c>
      <c r="E224" s="166">
        <f t="shared" si="124"/>
        <v>0.6627759346783192</v>
      </c>
      <c r="F224" s="342">
        <f t="shared" si="124"/>
        <v>0.6609044109044109</v>
      </c>
      <c r="G224" s="342">
        <f t="shared" si="124"/>
        <v>0.6569480217267506</v>
      </c>
      <c r="H224" s="342">
        <f t="shared" si="124"/>
        <v>0.6537950352278735</v>
      </c>
      <c r="I224" s="342">
        <f t="shared" si="124"/>
        <v>0.6538382132928343</v>
      </c>
      <c r="J224" s="342">
        <f t="shared" si="124"/>
        <v>0.6559808786527734</v>
      </c>
      <c r="K224" s="167">
        <f t="shared" si="124"/>
        <v>0.6555844069581621</v>
      </c>
      <c r="L224" s="167">
        <f t="shared" si="124"/>
        <v>0.6551038616661945</v>
      </c>
      <c r="M224" s="167">
        <f t="shared" si="124"/>
        <v>0.6547599143397491</v>
      </c>
      <c r="N224" s="167">
        <f t="shared" si="124"/>
        <v>0.6543302269289152</v>
      </c>
      <c r="O224" s="167">
        <f t="shared" si="124"/>
        <v>0.6529489086647139</v>
      </c>
      <c r="P224" s="167">
        <f t="shared" si="124"/>
        <v>0.6512498835745509</v>
      </c>
      <c r="Q224" s="167">
        <f t="shared" si="124"/>
        <v>0.649553887149515</v>
      </c>
      <c r="R224" s="167">
        <f t="shared" si="124"/>
        <v>0.6474919581422909</v>
      </c>
      <c r="S224" s="167">
        <f t="shared" si="124"/>
        <v>0.6451544520949462</v>
      </c>
      <c r="T224" s="167">
        <f t="shared" si="124"/>
        <v>0.6426054218762006</v>
      </c>
    </row>
    <row r="225" spans="1:20" ht="12.75">
      <c r="A225" s="50" t="s">
        <v>558</v>
      </c>
      <c r="D225" s="166">
        <f>Data!C$210</f>
        <v>0.037</v>
      </c>
      <c r="E225" s="166">
        <f>Data!D$210</f>
        <v>0.036</v>
      </c>
      <c r="F225" s="342">
        <f>Data!E$210</f>
        <v>0.043</v>
      </c>
      <c r="G225" s="342">
        <f>Data!F$210</f>
        <v>0.05</v>
      </c>
      <c r="H225" s="342">
        <f>Data!G$210</f>
        <v>0.051</v>
      </c>
      <c r="I225" s="342">
        <f>Data!H$210</f>
        <v>0.049</v>
      </c>
      <c r="J225" s="342">
        <f>Data!I$210</f>
        <v>0.046</v>
      </c>
      <c r="K225" s="167">
        <f ca="1">IF(J$225&lt;OFFSET(Scenarios!$A$9,0,$C$1),MIN(J$225+OFFSET(Scenarios!$A$15,0,$C$1),OFFSET(Scenarios!$A$9,0,$C$1)),MAX(J$225-OFFSET(Scenarios!$A$15,0,$C$1),OFFSET(Scenarios!$A$9,0,$C$1)))</f>
        <v>0.046</v>
      </c>
      <c r="L225" s="167">
        <f ca="1">IF(K$225&lt;OFFSET(Scenarios!$A$9,0,$C$1),MIN(K$225+OFFSET(Scenarios!$A$15,0,$C$1),OFFSET(Scenarios!$A$9,0,$C$1)),MAX(K$225-OFFSET(Scenarios!$A$15,0,$C$1),OFFSET(Scenarios!$A$9,0,$C$1)))</f>
        <v>0.046</v>
      </c>
      <c r="M225" s="167">
        <f ca="1">IF(L$225&lt;OFFSET(Scenarios!$A$9,0,$C$1),MIN(L$225+OFFSET(Scenarios!$A$15,0,$C$1),OFFSET(Scenarios!$A$9,0,$C$1)),MAX(L$225-OFFSET(Scenarios!$A$15,0,$C$1),OFFSET(Scenarios!$A$9,0,$C$1)))</f>
        <v>0.046</v>
      </c>
      <c r="N225" s="167">
        <f ca="1">IF(M$225&lt;OFFSET(Scenarios!$A$9,0,$C$1),MIN(M$225+OFFSET(Scenarios!$A$15,0,$C$1),OFFSET(Scenarios!$A$9,0,$C$1)),MAX(M$225-OFFSET(Scenarios!$A$15,0,$C$1),OFFSET(Scenarios!$A$9,0,$C$1)))</f>
        <v>0.046</v>
      </c>
      <c r="O225" s="167">
        <f ca="1">IF(N$225&lt;OFFSET(Scenarios!$A$9,0,$C$1),MIN(N$225+OFFSET(Scenarios!$A$15,0,$C$1),OFFSET(Scenarios!$A$9,0,$C$1)),MAX(N$225-OFFSET(Scenarios!$A$15,0,$C$1),OFFSET(Scenarios!$A$9,0,$C$1)))</f>
        <v>0.046</v>
      </c>
      <c r="P225" s="167">
        <f ca="1">IF(O$225&lt;OFFSET(Scenarios!$A$9,0,$C$1),MIN(O$225+OFFSET(Scenarios!$A$15,0,$C$1),OFFSET(Scenarios!$A$9,0,$C$1)),MAX(O$225-OFFSET(Scenarios!$A$15,0,$C$1),OFFSET(Scenarios!$A$9,0,$C$1)))</f>
        <v>0.046</v>
      </c>
      <c r="Q225" s="167">
        <f ca="1">IF(P$225&lt;OFFSET(Scenarios!$A$9,0,$C$1),MIN(P$225+OFFSET(Scenarios!$A$15,0,$C$1),OFFSET(Scenarios!$A$9,0,$C$1)),MAX(P$225-OFFSET(Scenarios!$A$15,0,$C$1),OFFSET(Scenarios!$A$9,0,$C$1)))</f>
        <v>0.046</v>
      </c>
      <c r="R225" s="167">
        <f ca="1">IF(Q$225&lt;OFFSET(Scenarios!$A$9,0,$C$1),MIN(Q$225+OFFSET(Scenarios!$A$15,0,$C$1),OFFSET(Scenarios!$A$9,0,$C$1)),MAX(Q$225-OFFSET(Scenarios!$A$15,0,$C$1),OFFSET(Scenarios!$A$9,0,$C$1)))</f>
        <v>0.046</v>
      </c>
      <c r="S225" s="167">
        <f ca="1">IF(R$225&lt;OFFSET(Scenarios!$A$9,0,$C$1),MIN(R$225+OFFSET(Scenarios!$A$15,0,$C$1),OFFSET(Scenarios!$A$9,0,$C$1)),MAX(R$225-OFFSET(Scenarios!$A$15,0,$C$1),OFFSET(Scenarios!$A$9,0,$C$1)))</f>
        <v>0.046</v>
      </c>
      <c r="T225" s="167">
        <f ca="1">IF(S$225&lt;OFFSET(Scenarios!$A$9,0,$C$1),MIN(S$225+OFFSET(Scenarios!$A$15,0,$C$1),OFFSET(Scenarios!$A$9,0,$C$1)),MAX(S$225-OFFSET(Scenarios!$A$15,0,$C$1),OFFSET(Scenarios!$A$9,0,$C$1)))</f>
        <v>0.046</v>
      </c>
    </row>
    <row r="226" spans="1:20" ht="12.75">
      <c r="A226" s="50" t="s">
        <v>475</v>
      </c>
      <c r="D226" s="99">
        <f aca="true" t="shared" si="125" ref="D226:T226">D$222*(1-D$225)</f>
        <v>2.1347784</v>
      </c>
      <c r="E226" s="99">
        <f t="shared" si="125"/>
        <v>2.158878</v>
      </c>
      <c r="F226" s="173">
        <f t="shared" si="125"/>
        <v>2.1623415</v>
      </c>
      <c r="G226" s="173">
        <f t="shared" si="125"/>
        <v>2.15897</v>
      </c>
      <c r="H226" s="173">
        <f t="shared" si="125"/>
        <v>2.1707425999999996</v>
      </c>
      <c r="I226" s="173">
        <f t="shared" si="125"/>
        <v>2.1986168999999998</v>
      </c>
      <c r="J226" s="173">
        <f t="shared" si="125"/>
        <v>2.2359852</v>
      </c>
      <c r="K226" s="104">
        <f t="shared" si="125"/>
        <v>2.257030340919922</v>
      </c>
      <c r="L226" s="104">
        <f t="shared" si="125"/>
        <v>2.27868727789846</v>
      </c>
      <c r="M226" s="104">
        <f t="shared" si="125"/>
        <v>2.2999529940257357</v>
      </c>
      <c r="N226" s="104">
        <f t="shared" si="125"/>
        <v>2.3192929622170935</v>
      </c>
      <c r="O226" s="104">
        <f t="shared" si="125"/>
        <v>2.3352831200913817</v>
      </c>
      <c r="P226" s="104">
        <f t="shared" si="125"/>
        <v>2.3507343086037866</v>
      </c>
      <c r="Q226" s="104">
        <f t="shared" si="125"/>
        <v>2.3657557756983847</v>
      </c>
      <c r="R226" s="104">
        <f t="shared" si="125"/>
        <v>2.380168407730479</v>
      </c>
      <c r="S226" s="104">
        <f t="shared" si="125"/>
        <v>2.394613096040688</v>
      </c>
      <c r="T226" s="104">
        <f t="shared" si="125"/>
        <v>2.407957182281603</v>
      </c>
    </row>
    <row r="227" spans="1:20" ht="12.75">
      <c r="A227" s="231" t="s">
        <v>583</v>
      </c>
      <c r="D227" s="166"/>
      <c r="E227" s="166">
        <f aca="true" t="shared" si="126" ref="E227:S227">E$226/D$226-1</f>
        <v>0.011289040586133003</v>
      </c>
      <c r="F227" s="342">
        <f t="shared" si="126"/>
        <v>0.001604305569837594</v>
      </c>
      <c r="G227" s="342">
        <f t="shared" si="126"/>
        <v>-0.0015591894249821214</v>
      </c>
      <c r="H227" s="342">
        <f t="shared" si="126"/>
        <v>0.005452877992746297</v>
      </c>
      <c r="I227" s="342">
        <f t="shared" si="126"/>
        <v>0.01284090522754755</v>
      </c>
      <c r="J227" s="342">
        <f t="shared" si="126"/>
        <v>0.01699627615888888</v>
      </c>
      <c r="K227" s="167">
        <f t="shared" si="126"/>
        <v>0.009412021564329631</v>
      </c>
      <c r="L227" s="167">
        <f t="shared" si="126"/>
        <v>0.009595323813729184</v>
      </c>
      <c r="M227" s="167">
        <f t="shared" si="126"/>
        <v>0.00933244167970626</v>
      </c>
      <c r="N227" s="167">
        <f t="shared" si="126"/>
        <v>0.008408853677268402</v>
      </c>
      <c r="O227" s="167">
        <f t="shared" si="126"/>
        <v>0.006894410553034636</v>
      </c>
      <c r="P227" s="167">
        <f t="shared" si="126"/>
        <v>0.0066164091109433</v>
      </c>
      <c r="Q227" s="167">
        <f t="shared" si="126"/>
        <v>0.0063901169262807755</v>
      </c>
      <c r="R227" s="167">
        <f t="shared" si="126"/>
        <v>0.006092189303792184</v>
      </c>
      <c r="S227" s="167">
        <f t="shared" si="126"/>
        <v>0.00606876734574513</v>
      </c>
      <c r="T227" s="167">
        <f>T$226/S$226-1</f>
        <v>0.005572543749542858</v>
      </c>
    </row>
    <row r="228" spans="1:20" ht="12.75">
      <c r="A228" s="50" t="s">
        <v>559</v>
      </c>
      <c r="D228" s="252">
        <f>Data!C$211</f>
        <v>38.1</v>
      </c>
      <c r="E228" s="252">
        <f>Data!D$211</f>
        <v>38</v>
      </c>
      <c r="F228" s="406">
        <f>Data!E$211</f>
        <v>37.9</v>
      </c>
      <c r="G228" s="406">
        <f>Data!F$211</f>
        <v>37.9</v>
      </c>
      <c r="H228" s="406">
        <f>Data!G$211</f>
        <v>37.9</v>
      </c>
      <c r="I228" s="406">
        <f>Data!H$211</f>
        <v>37.9</v>
      </c>
      <c r="J228" s="406">
        <f>Data!I$211</f>
        <v>37.9</v>
      </c>
      <c r="K228" s="196">
        <f aca="true" t="shared" si="127" ref="K228:S228">J$228</f>
        <v>37.9</v>
      </c>
      <c r="L228" s="196">
        <f t="shared" si="127"/>
        <v>37.9</v>
      </c>
      <c r="M228" s="196">
        <f t="shared" si="127"/>
        <v>37.9</v>
      </c>
      <c r="N228" s="196">
        <f t="shared" si="127"/>
        <v>37.9</v>
      </c>
      <c r="O228" s="196">
        <f t="shared" si="127"/>
        <v>37.9</v>
      </c>
      <c r="P228" s="196">
        <f t="shared" si="127"/>
        <v>37.9</v>
      </c>
      <c r="Q228" s="196">
        <f t="shared" si="127"/>
        <v>37.9</v>
      </c>
      <c r="R228" s="196">
        <f t="shared" si="127"/>
        <v>37.9</v>
      </c>
      <c r="S228" s="196">
        <f t="shared" si="127"/>
        <v>37.9</v>
      </c>
      <c r="T228" s="196">
        <f>S$228</f>
        <v>37.9</v>
      </c>
    </row>
    <row r="229" spans="1:20" ht="12.75">
      <c r="A229" s="50" t="s">
        <v>667</v>
      </c>
      <c r="D229" s="166">
        <f>Data!C$213</f>
        <v>0.04717530576587059</v>
      </c>
      <c r="E229" s="166">
        <f>Data!D$213</f>
        <v>0.045050055617352536</v>
      </c>
      <c r="F229" s="342">
        <f>Data!E$213</f>
        <v>0.05373624325715176</v>
      </c>
      <c r="G229" s="342">
        <f>Data!F$213</f>
        <v>0.04090893563117626</v>
      </c>
      <c r="H229" s="342">
        <f>Data!G$213</f>
        <v>0.03980505510908294</v>
      </c>
      <c r="I229" s="342">
        <f>Data!H$213</f>
        <v>0.0373937743803614</v>
      </c>
      <c r="J229" s="342">
        <f>Data!I$213</f>
        <v>0.03474610910742859</v>
      </c>
      <c r="K229" s="167">
        <f aca="true" t="shared" si="128" ref="K229:T229">(1+K$215)*(1+K$230)-1</f>
        <v>0.03754028960267752</v>
      </c>
      <c r="L229" s="167">
        <f t="shared" si="128"/>
        <v>0.03551028960267755</v>
      </c>
      <c r="M229" s="167">
        <f t="shared" si="128"/>
        <v>0.03529999999999989</v>
      </c>
      <c r="N229" s="167">
        <f t="shared" si="128"/>
        <v>0.03529999999999989</v>
      </c>
      <c r="O229" s="167">
        <f t="shared" si="128"/>
        <v>0.03529999999999989</v>
      </c>
      <c r="P229" s="167">
        <f t="shared" si="128"/>
        <v>0.03529999999999989</v>
      </c>
      <c r="Q229" s="167">
        <f t="shared" si="128"/>
        <v>0.03529999999999989</v>
      </c>
      <c r="R229" s="167">
        <f t="shared" si="128"/>
        <v>0.03529999999999989</v>
      </c>
      <c r="S229" s="167">
        <f t="shared" si="128"/>
        <v>0.03529999999999989</v>
      </c>
      <c r="T229" s="167">
        <f t="shared" si="128"/>
        <v>0.03529999999999989</v>
      </c>
    </row>
    <row r="230" spans="1:20" ht="12.75">
      <c r="A230" s="50" t="s">
        <v>790</v>
      </c>
      <c r="B230" s="341"/>
      <c r="C230" s="251"/>
      <c r="D230" s="341">
        <f>Data!C$212</f>
        <v>0.006613849658310245</v>
      </c>
      <c r="E230" s="341">
        <f>Data!D$212</f>
        <v>0.015637265146052907</v>
      </c>
      <c r="F230" s="342">
        <f>Data!E$212</f>
        <v>0.0016582884400579978</v>
      </c>
      <c r="G230" s="342">
        <f>Data!F$212</f>
        <v>0.02525068175436629</v>
      </c>
      <c r="H230" s="342">
        <f>Data!G$212</f>
        <v>0.027003236945545295</v>
      </c>
      <c r="I230" s="342">
        <f>Data!H$212</f>
        <v>0.018991748995962343</v>
      </c>
      <c r="J230" s="342">
        <f>Data!I$212</f>
        <v>0.012005309209479398</v>
      </c>
      <c r="K230" s="343">
        <f ca="1">OFFSET(Scenarios!$A$6,0,$C$1)</f>
        <v>0.015</v>
      </c>
      <c r="L230" s="343">
        <f ca="1">OFFSET(Scenarios!$A$6,0,$C$1)</f>
        <v>0.015</v>
      </c>
      <c r="M230" s="343">
        <f ca="1">OFFSET(Scenarios!$A$6,0,$C$1)</f>
        <v>0.015</v>
      </c>
      <c r="N230" s="343">
        <f ca="1">OFFSET(Scenarios!$A$6,0,$C$1)</f>
        <v>0.015</v>
      </c>
      <c r="O230" s="343">
        <f ca="1">OFFSET(Scenarios!$A$6,0,$C$1)</f>
        <v>0.015</v>
      </c>
      <c r="P230" s="343">
        <f ca="1">OFFSET(Scenarios!$A$6,0,$C$1)</f>
        <v>0.015</v>
      </c>
      <c r="Q230" s="343">
        <f ca="1">OFFSET(Scenarios!$A$6,0,$C$1)</f>
        <v>0.015</v>
      </c>
      <c r="R230" s="343">
        <f ca="1">OFFSET(Scenarios!$A$6,0,$C$1)</f>
        <v>0.015</v>
      </c>
      <c r="S230" s="343">
        <f ca="1">OFFSET(Scenarios!$A$6,0,$C$1)</f>
        <v>0.015</v>
      </c>
      <c r="T230" s="343">
        <f ca="1">OFFSET(Scenarios!$A$6,0,$C$1)</f>
        <v>0.015</v>
      </c>
    </row>
    <row r="232" ht="15.75">
      <c r="A232" s="220" t="s">
        <v>791</v>
      </c>
    </row>
    <row r="233" ht="12.75">
      <c r="A233" s="46" t="s">
        <v>748</v>
      </c>
    </row>
    <row r="234" spans="1:20" s="330" customFormat="1" ht="12.75">
      <c r="A234" s="214" t="s">
        <v>640</v>
      </c>
      <c r="C234" s="497"/>
      <c r="D234" s="497"/>
      <c r="E234" s="498">
        <f>Popn!E$201</f>
        <v>0.021150961666255297</v>
      </c>
      <c r="F234" s="499">
        <f>Popn!F$201</f>
        <v>0.02696019188219334</v>
      </c>
      <c r="G234" s="499">
        <f>Popn!G$201</f>
        <v>0.028497456230876406</v>
      </c>
      <c r="H234" s="499">
        <f>Popn!H$201</f>
        <v>0.030647631453870172</v>
      </c>
      <c r="I234" s="499">
        <f>Popn!I$201</f>
        <v>0.0412823666051787</v>
      </c>
      <c r="J234" s="499">
        <f>Popn!J$201</f>
        <v>0.03807102435823828</v>
      </c>
      <c r="K234" s="500">
        <f>Popn!K$201</f>
        <v>0.035063047119426205</v>
      </c>
      <c r="L234" s="500">
        <f>Popn!L$201</f>
        <v>0.03462331119761841</v>
      </c>
      <c r="M234" s="500">
        <f>Popn!M$201</f>
        <v>0.03231375326457431</v>
      </c>
      <c r="N234" s="500">
        <f>Popn!N$201</f>
        <v>0.031802524191358206</v>
      </c>
      <c r="O234" s="500">
        <f>Popn!O$201</f>
        <v>0.0308361500526404</v>
      </c>
      <c r="P234" s="500">
        <f>Popn!P$201</f>
        <v>0.0313516273819443</v>
      </c>
      <c r="Q234" s="500">
        <f>Popn!Q$201</f>
        <v>0.031336729774453786</v>
      </c>
      <c r="R234" s="500">
        <f>Popn!R$201</f>
        <v>0.03221649484536093</v>
      </c>
      <c r="S234" s="500">
        <f>Popn!S$201</f>
        <v>0.031798487185136226</v>
      </c>
      <c r="T234" s="500">
        <f>Popn!T$201</f>
        <v>0.031008303677342752</v>
      </c>
    </row>
    <row r="235" spans="1:20" s="330" customFormat="1" ht="12.75">
      <c r="A235" s="214" t="s">
        <v>709</v>
      </c>
      <c r="C235" s="497"/>
      <c r="D235" s="497"/>
      <c r="E235" s="498">
        <f aca="true" t="shared" si="129" ref="E235:T235">E$215</f>
        <v>0.04019607843137263</v>
      </c>
      <c r="F235" s="499">
        <f t="shared" si="129"/>
        <v>0.03408011310084835</v>
      </c>
      <c r="G235" s="499">
        <f t="shared" si="129"/>
        <v>0.022615682868207587</v>
      </c>
      <c r="H235" s="499">
        <f t="shared" si="129"/>
        <v>0.024041598186050894</v>
      </c>
      <c r="I235" s="499">
        <f t="shared" si="129"/>
        <v>0.024530308648100352</v>
      </c>
      <c r="J235" s="499">
        <f t="shared" si="129"/>
        <v>0.02420718187455928</v>
      </c>
      <c r="K235" s="500">
        <f t="shared" si="129"/>
        <v>0.02220718187455928</v>
      </c>
      <c r="L235" s="500">
        <f t="shared" si="129"/>
        <v>0.020207181874559277</v>
      </c>
      <c r="M235" s="500">
        <f t="shared" si="129"/>
        <v>0.02</v>
      </c>
      <c r="N235" s="500">
        <f t="shared" si="129"/>
        <v>0.02</v>
      </c>
      <c r="O235" s="500">
        <f t="shared" si="129"/>
        <v>0.02</v>
      </c>
      <c r="P235" s="500">
        <f t="shared" si="129"/>
        <v>0.02</v>
      </c>
      <c r="Q235" s="500">
        <f t="shared" si="129"/>
        <v>0.02</v>
      </c>
      <c r="R235" s="500">
        <f t="shared" si="129"/>
        <v>0.02</v>
      </c>
      <c r="S235" s="500">
        <f t="shared" si="129"/>
        <v>0.02</v>
      </c>
      <c r="T235" s="500">
        <f t="shared" si="129"/>
        <v>0.02</v>
      </c>
    </row>
    <row r="236" spans="1:20" s="330" customFormat="1" ht="12.75">
      <c r="A236" s="214" t="s">
        <v>641</v>
      </c>
      <c r="C236" s="497"/>
      <c r="D236" s="497"/>
      <c r="E236" s="501">
        <f aca="true" t="shared" si="130" ref="E236:T236">E$73/D$73-(1+E$234+E$235)</f>
        <v>0.01765442833115327</v>
      </c>
      <c r="F236" s="400">
        <f t="shared" si="130"/>
        <v>-0.001568339822453746</v>
      </c>
      <c r="G236" s="400">
        <f t="shared" si="130"/>
        <v>0.020049352872656634</v>
      </c>
      <c r="H236" s="400">
        <f t="shared" si="130"/>
        <v>-0.009000298113359007</v>
      </c>
      <c r="I236" s="400">
        <f t="shared" si="130"/>
        <v>-0.0036567119505268586</v>
      </c>
      <c r="J236" s="400">
        <f t="shared" si="130"/>
        <v>0.005093851638072522</v>
      </c>
      <c r="K236" s="408">
        <f t="shared" si="130"/>
        <v>0.012208712346903239</v>
      </c>
      <c r="L236" s="408">
        <f t="shared" si="130"/>
        <v>0.012249869534850966</v>
      </c>
      <c r="M236" s="408">
        <f t="shared" si="130"/>
        <v>0.012116791887160971</v>
      </c>
      <c r="N236" s="408">
        <f t="shared" si="130"/>
        <v>0.012023445292706825</v>
      </c>
      <c r="O236" s="408">
        <f t="shared" si="130"/>
        <v>0.011914371479291086</v>
      </c>
      <c r="P236" s="408">
        <f t="shared" si="130"/>
        <v>0.011849447207527897</v>
      </c>
      <c r="Q236" s="408">
        <f t="shared" si="130"/>
        <v>0.011766290621530562</v>
      </c>
      <c r="R236" s="408">
        <f t="shared" si="130"/>
        <v>0.01643724226804122</v>
      </c>
      <c r="S236" s="408">
        <f t="shared" si="130"/>
        <v>0.01642248659763501</v>
      </c>
      <c r="T236" s="408">
        <f t="shared" si="130"/>
        <v>0.016394593119809953</v>
      </c>
    </row>
    <row r="237" spans="1:20" s="330" customFormat="1" ht="12.75">
      <c r="A237" s="502" t="s">
        <v>642</v>
      </c>
      <c r="C237" s="497"/>
      <c r="D237" s="497"/>
      <c r="E237" s="503">
        <f aca="true" t="shared" si="131" ref="E237:S237">E$73/D$73-1</f>
        <v>0.0790014684287812</v>
      </c>
      <c r="F237" s="504">
        <f t="shared" si="131"/>
        <v>0.05947196516058795</v>
      </c>
      <c r="G237" s="504">
        <f t="shared" si="131"/>
        <v>0.07116249197174063</v>
      </c>
      <c r="H237" s="504">
        <f t="shared" si="131"/>
        <v>0.04568893152656206</v>
      </c>
      <c r="I237" s="504">
        <f t="shared" si="131"/>
        <v>0.06215596330275219</v>
      </c>
      <c r="J237" s="504">
        <f t="shared" si="131"/>
        <v>0.06737205787087008</v>
      </c>
      <c r="K237" s="505">
        <f t="shared" si="131"/>
        <v>0.06947894134088872</v>
      </c>
      <c r="L237" s="505">
        <f t="shared" si="131"/>
        <v>0.06708036260702865</v>
      </c>
      <c r="M237" s="505">
        <f t="shared" si="131"/>
        <v>0.0644305451517353</v>
      </c>
      <c r="N237" s="505">
        <f t="shared" si="131"/>
        <v>0.06382596948406505</v>
      </c>
      <c r="O237" s="505">
        <f t="shared" si="131"/>
        <v>0.0627505215319315</v>
      </c>
      <c r="P237" s="505">
        <f t="shared" si="131"/>
        <v>0.06320107458947222</v>
      </c>
      <c r="Q237" s="505">
        <f t="shared" si="131"/>
        <v>0.06310302039598437</v>
      </c>
      <c r="R237" s="505">
        <f t="shared" si="131"/>
        <v>0.06865373711340217</v>
      </c>
      <c r="S237" s="505">
        <f t="shared" si="131"/>
        <v>0.06822097378277125</v>
      </c>
      <c r="T237" s="505">
        <f>T$73/S$73-1</f>
        <v>0.06740289679715272</v>
      </c>
    </row>
    <row r="238" spans="1:20" s="330" customFormat="1" ht="12.75">
      <c r="A238" s="382" t="s">
        <v>643</v>
      </c>
      <c r="C238" s="497"/>
      <c r="D238" s="497"/>
      <c r="E238" s="498"/>
      <c r="F238" s="499"/>
      <c r="G238" s="499"/>
      <c r="H238" s="499"/>
      <c r="I238" s="499"/>
      <c r="J238" s="499"/>
      <c r="K238" s="500"/>
      <c r="L238" s="500"/>
      <c r="M238" s="500"/>
      <c r="N238" s="500"/>
      <c r="O238" s="500"/>
      <c r="P238" s="500"/>
      <c r="Q238" s="500"/>
      <c r="R238" s="500"/>
      <c r="S238" s="500"/>
      <c r="T238" s="500"/>
    </row>
    <row r="239" spans="1:20" s="330" customFormat="1" ht="12.75">
      <c r="A239" s="214" t="s">
        <v>640</v>
      </c>
      <c r="C239" s="497"/>
      <c r="D239" s="497"/>
      <c r="E239" s="506">
        <f>SUM(D$74*(E$86/D$86-1),D$75*(SUMPRODUCT(Popn!E$204:E$214,Tracks!$H$93:$H$103)+SUMPRODUCT(Popn!E$215:E$225,Tracks!$I$93:$I$103)),D$76*AVERAGE(Popn!E$197,Popn!E$202))/(D$77-D$73)</f>
        <v>-0.010883918334381385</v>
      </c>
      <c r="F239" s="507">
        <f>SUM(E$74*(F$86/E$86-1),E$75*(SUMPRODUCT(Popn!F$204:F$214,Tracks!$H$93:$H$103)+SUMPRODUCT(Popn!F$215:F$225,Tracks!$I$93:$I$103)),E$76*AVERAGE(Popn!F$197,Popn!F$202))/(E$77-E$73)</f>
        <v>0.008814340552143238</v>
      </c>
      <c r="G239" s="507">
        <f>SUM(F$74*(G$86/F$86-1),F$75*(SUMPRODUCT(Popn!G$204:G$214,Tracks!$H$93:$H$103)+SUMPRODUCT(Popn!G$215:G$225,Tracks!$I$93:$I$103)),F$76*AVERAGE(Popn!G$197,Popn!G$202))/(F$77-F$73)</f>
        <v>0.012178222362739468</v>
      </c>
      <c r="H239" s="507">
        <f>SUM(G$74*(H$86/G$86-1),G$75*(SUMPRODUCT(Popn!H$204:H$214,Tracks!$H$93:$H$103)+SUMPRODUCT(Popn!H$215:H$225,Tracks!$I$93:$I$103)),G$76*AVERAGE(Popn!H$197,Popn!H$202))/(G$77-G$73)</f>
        <v>0.004781332848732171</v>
      </c>
      <c r="I239" s="507">
        <f>SUM(H$74*(I$86/H$86-1),H$75*(SUMPRODUCT(Popn!I$204:I$214,Tracks!$H$93:$H$103)+SUMPRODUCT(Popn!I$215:I$225,Tracks!$I$93:$I$103)),H$76*AVERAGE(Popn!I$197,Popn!I$202))/(H$77-H$73)</f>
        <v>-0.0013327153382877864</v>
      </c>
      <c r="J239" s="507">
        <f>SUM(I$74*(J$86/I$86-1),I$75*(SUMPRODUCT(Popn!J$204:J$214,Tracks!$H$93:$H$103)+SUMPRODUCT(Popn!J$215:J$225,Tracks!$I$93:$I$103)),I$76*AVERAGE(Popn!J$197,Popn!J$202))/(I$77-I$73)</f>
        <v>0.0019162014222243384</v>
      </c>
      <c r="K239" s="500">
        <f>SUM(J$74*(K$86/J$86-1),J$75*(SUMPRODUCT(Popn!K$204:K$214,Tracks!$H$93:$H$103)+SUMPRODUCT(Popn!K$215:K$225,Tracks!$I$93:$I$103)),J$76*AVERAGE(Popn!K$197,Popn!K$202))/(J$77-J$73)</f>
        <v>0.004703518756152442</v>
      </c>
      <c r="L239" s="500">
        <f>SUM(K$74*(L$86/K$86-1),K$75*(SUMPRODUCT(Popn!L$204:L$214,Tracks!$H$93:$H$103)+SUMPRODUCT(Popn!L$215:L$225,Tracks!$I$93:$I$103)),K$76*AVERAGE(Popn!L$197,Popn!L$202))/(K$77-K$73)</f>
        <v>0.004514490102058287</v>
      </c>
      <c r="M239" s="500">
        <f>SUM(L$74*(M$86/L$86-1),L$75*(SUMPRODUCT(Popn!M$204:M$214,Tracks!$H$93:$H$103)+SUMPRODUCT(Popn!M$215:M$225,Tracks!$I$93:$I$103)),L$76*AVERAGE(Popn!M$197,Popn!M$202))/(L$77-L$73)</f>
        <v>0.004705337066711962</v>
      </c>
      <c r="N239" s="500">
        <f>SUM(M$74*(N$86/M$86-1),M$75*(SUMPRODUCT(Popn!N$204:N$214,Tracks!$H$93:$H$103)+SUMPRODUCT(Popn!N$215:N$225,Tracks!$I$93:$I$103)),M$76*AVERAGE(Popn!N$197,Popn!N$202))/(M$77-M$73)</f>
        <v>0.0047726653372990695</v>
      </c>
      <c r="O239" s="500">
        <f>SUM(N$74*(O$86/N$86-1),N$75*(SUMPRODUCT(Popn!O$204:O$214,Tracks!$H$93:$H$103)+SUMPRODUCT(Popn!O$215:O$225,Tracks!$I$93:$I$103)),N$76*AVERAGE(Popn!O$197,Popn!O$202))/(N$77-N$73)</f>
        <v>0.004751825891202952</v>
      </c>
      <c r="P239" s="500">
        <f>SUM(O$74*(P$86/O$86-1),O$75*(SUMPRODUCT(Popn!P$204:P$214,Tracks!$H$93:$H$103)+SUMPRODUCT(Popn!P$215:P$225,Tracks!$I$93:$I$103)),O$76*AVERAGE(Popn!P$197,Popn!P$202))/(O$77-O$73)</f>
        <v>0.004692841032199721</v>
      </c>
      <c r="Q239" s="500">
        <f>SUM(P$74*(Q$86/P$86-1),P$75*(SUMPRODUCT(Popn!Q$204:Q$214,Tracks!$H$93:$H$103)+SUMPRODUCT(Popn!Q$215:Q$225,Tracks!$I$93:$I$103)),P$76*AVERAGE(Popn!Q$197,Popn!Q$202))/(P$77-P$73)</f>
        <v>0.004021388894094081</v>
      </c>
      <c r="R239" s="500">
        <f>SUM(Q$74*(R$86/Q$86-1),Q$75*(SUMPRODUCT(Popn!R$204:R$214,Tracks!$H$93:$H$103)+SUMPRODUCT(Popn!R$215:R$225,Tracks!$I$93:$I$103)),Q$76*AVERAGE(Popn!R$197,Popn!R$202))/(Q$77-Q$73)</f>
        <v>0.004082846692566807</v>
      </c>
      <c r="S239" s="500">
        <f>SUM(R$74*(S$86/R$86-1),R$75*(SUMPRODUCT(Popn!S$204:S$214,Tracks!$H$93:$H$103)+SUMPRODUCT(Popn!S$215:S$225,Tracks!$I$93:$I$103)),R$76*AVERAGE(Popn!S$197,Popn!S$202))/(R$77-R$73)</f>
        <v>0.004537427653778517</v>
      </c>
      <c r="T239" s="500">
        <f>SUM(S$74*(T$86/S$86-1),S$75*(SUMPRODUCT(Popn!T$204:T$214,Tracks!$H$93:$H$103)+SUMPRODUCT(Popn!T$215:T$225,Tracks!$I$93:$I$103)),S$76*AVERAGE(Popn!T$197,Popn!T$202))/(S$77-S$73)</f>
        <v>0.0042449699847551875</v>
      </c>
    </row>
    <row r="240" spans="1:20" s="330" customFormat="1" ht="12.75">
      <c r="A240" s="214" t="s">
        <v>709</v>
      </c>
      <c r="C240" s="497"/>
      <c r="D240" s="497"/>
      <c r="E240" s="498">
        <f aca="true" t="shared" si="132" ref="E240:T240">E$215</f>
        <v>0.04019607843137263</v>
      </c>
      <c r="F240" s="499">
        <f t="shared" si="132"/>
        <v>0.03408011310084835</v>
      </c>
      <c r="G240" s="499">
        <f t="shared" si="132"/>
        <v>0.022615682868207587</v>
      </c>
      <c r="H240" s="499">
        <f t="shared" si="132"/>
        <v>0.024041598186050894</v>
      </c>
      <c r="I240" s="499">
        <f t="shared" si="132"/>
        <v>0.024530308648100352</v>
      </c>
      <c r="J240" s="499">
        <f t="shared" si="132"/>
        <v>0.02420718187455928</v>
      </c>
      <c r="K240" s="500">
        <f t="shared" si="132"/>
        <v>0.02220718187455928</v>
      </c>
      <c r="L240" s="500">
        <f t="shared" si="132"/>
        <v>0.020207181874559277</v>
      </c>
      <c r="M240" s="500">
        <f t="shared" si="132"/>
        <v>0.02</v>
      </c>
      <c r="N240" s="500">
        <f t="shared" si="132"/>
        <v>0.02</v>
      </c>
      <c r="O240" s="500">
        <f t="shared" si="132"/>
        <v>0.02</v>
      </c>
      <c r="P240" s="500">
        <f t="shared" si="132"/>
        <v>0.02</v>
      </c>
      <c r="Q240" s="500">
        <f t="shared" si="132"/>
        <v>0.02</v>
      </c>
      <c r="R240" s="500">
        <f t="shared" si="132"/>
        <v>0.02</v>
      </c>
      <c r="S240" s="500">
        <f t="shared" si="132"/>
        <v>0.02</v>
      </c>
      <c r="T240" s="500">
        <f t="shared" si="132"/>
        <v>0.02</v>
      </c>
    </row>
    <row r="241" spans="1:20" s="330" customFormat="1" ht="12.75">
      <c r="A241" s="214" t="s">
        <v>649</v>
      </c>
      <c r="C241" s="497"/>
      <c r="D241" s="497"/>
      <c r="E241" s="501">
        <f aca="true" t="shared" si="133" ref="E241:T241">(E$77-E$73)/(D$77-D$73)-(1+E$239+E$240)</f>
        <v>0.028028671395275984</v>
      </c>
      <c r="F241" s="400">
        <f t="shared" si="133"/>
        <v>0.03707515409703199</v>
      </c>
      <c r="G241" s="400">
        <f t="shared" si="133"/>
        <v>0.0005591859659572762</v>
      </c>
      <c r="H241" s="400">
        <f t="shared" si="133"/>
        <v>-0.004445117393400144</v>
      </c>
      <c r="I241" s="400">
        <f t="shared" si="133"/>
        <v>0.006487315479573708</v>
      </c>
      <c r="J241" s="400">
        <f t="shared" si="133"/>
        <v>-0.00800452357702186</v>
      </c>
      <c r="K241" s="408">
        <f t="shared" si="133"/>
        <v>0.0001044518964683494</v>
      </c>
      <c r="L241" s="408">
        <f t="shared" si="133"/>
        <v>9.122512256354298E-05</v>
      </c>
      <c r="M241" s="408">
        <f t="shared" si="133"/>
        <v>9.41067413340324E-05</v>
      </c>
      <c r="N241" s="408">
        <f t="shared" si="133"/>
        <v>9.545330674587404E-05</v>
      </c>
      <c r="O241" s="408">
        <f t="shared" si="133"/>
        <v>9.503651782427625E-05</v>
      </c>
      <c r="P241" s="408">
        <f t="shared" si="133"/>
        <v>9.385682064388945E-05</v>
      </c>
      <c r="Q241" s="408">
        <f t="shared" si="133"/>
        <v>8.042777788230815E-05</v>
      </c>
      <c r="R241" s="408">
        <f t="shared" si="133"/>
        <v>8.165693385131512E-05</v>
      </c>
      <c r="S241" s="408">
        <f t="shared" si="133"/>
        <v>9.074855307544816E-05</v>
      </c>
      <c r="T241" s="408">
        <f t="shared" si="133"/>
        <v>8.489939969513749E-05</v>
      </c>
    </row>
    <row r="242" spans="1:20" s="330" customFormat="1" ht="12.75">
      <c r="A242" s="502" t="s">
        <v>642</v>
      </c>
      <c r="C242" s="497"/>
      <c r="D242" s="497"/>
      <c r="E242" s="503">
        <f aca="true" t="shared" si="134" ref="E242:S242">(E$77-E$73)/(D$77-D$73)-1</f>
        <v>0.05734083149226721</v>
      </c>
      <c r="F242" s="504">
        <f t="shared" si="134"/>
        <v>0.0799696077500236</v>
      </c>
      <c r="G242" s="504">
        <f t="shared" si="134"/>
        <v>0.03535309119690444</v>
      </c>
      <c r="H242" s="504">
        <f t="shared" si="134"/>
        <v>0.024377813641383028</v>
      </c>
      <c r="I242" s="504">
        <f t="shared" si="134"/>
        <v>0.029684908789386233</v>
      </c>
      <c r="J242" s="504">
        <f t="shared" si="134"/>
        <v>0.018118859719761682</v>
      </c>
      <c r="K242" s="505">
        <f t="shared" si="134"/>
        <v>0.02701515252718001</v>
      </c>
      <c r="L242" s="505">
        <f t="shared" si="134"/>
        <v>0.024812897099180997</v>
      </c>
      <c r="M242" s="505">
        <f t="shared" si="134"/>
        <v>0.024799443808046107</v>
      </c>
      <c r="N242" s="505">
        <f t="shared" si="134"/>
        <v>0.024868118644044923</v>
      </c>
      <c r="O242" s="505">
        <f t="shared" si="134"/>
        <v>0.024846862409027226</v>
      </c>
      <c r="P242" s="505">
        <f t="shared" si="134"/>
        <v>0.02478669785284371</v>
      </c>
      <c r="Q242" s="505">
        <f t="shared" si="134"/>
        <v>0.024101816671976417</v>
      </c>
      <c r="R242" s="505">
        <f t="shared" si="134"/>
        <v>0.0241645036264182</v>
      </c>
      <c r="S242" s="505">
        <f t="shared" si="134"/>
        <v>0.02462817620685409</v>
      </c>
      <c r="T242" s="505">
        <f>(T$77-T$73)/(S$77-S$73)-1</f>
        <v>0.024329869384450253</v>
      </c>
    </row>
    <row r="243" spans="1:20" s="330" customFormat="1" ht="12.75">
      <c r="A243" s="382" t="s">
        <v>236</v>
      </c>
      <c r="C243" s="497"/>
      <c r="D243" s="497"/>
      <c r="E243" s="498"/>
      <c r="F243" s="499"/>
      <c r="G243" s="499"/>
      <c r="H243" s="499"/>
      <c r="I243" s="499"/>
      <c r="J243" s="499"/>
      <c r="K243" s="500"/>
      <c r="L243" s="500"/>
      <c r="M243" s="500"/>
      <c r="N243" s="500"/>
      <c r="O243" s="500"/>
      <c r="P243" s="500"/>
      <c r="Q243" s="500"/>
      <c r="R243" s="500"/>
      <c r="S243" s="500"/>
      <c r="T243" s="500"/>
    </row>
    <row r="244" spans="1:20" s="330" customFormat="1" ht="12.75">
      <c r="A244" s="214" t="s">
        <v>640</v>
      </c>
      <c r="C244" s="497"/>
      <c r="D244" s="497"/>
      <c r="E244" s="498">
        <f aca="true" t="shared" si="135" ref="E244:S244">E$91/D$91-1</f>
        <v>0.01958703309615495</v>
      </c>
      <c r="F244" s="499">
        <f t="shared" si="135"/>
        <v>0.019403961775467105</v>
      </c>
      <c r="G244" s="499">
        <f t="shared" si="135"/>
        <v>0.01958461055492622</v>
      </c>
      <c r="H244" s="499">
        <f t="shared" si="135"/>
        <v>0.01932718811671763</v>
      </c>
      <c r="I244" s="499">
        <f t="shared" si="135"/>
        <v>0.01870247374956846</v>
      </c>
      <c r="J244" s="499">
        <f t="shared" si="135"/>
        <v>0.0174244361638618</v>
      </c>
      <c r="K244" s="500">
        <f t="shared" si="135"/>
        <v>0.01756688885228397</v>
      </c>
      <c r="L244" s="500">
        <f t="shared" si="135"/>
        <v>0.017797010322425866</v>
      </c>
      <c r="M244" s="500">
        <f t="shared" si="135"/>
        <v>0.018074294428128246</v>
      </c>
      <c r="N244" s="500">
        <f t="shared" si="135"/>
        <v>0.018566863208148154</v>
      </c>
      <c r="O244" s="500">
        <f t="shared" si="135"/>
        <v>0.017362967627386094</v>
      </c>
      <c r="P244" s="500">
        <f t="shared" si="135"/>
        <v>0.017558175890878047</v>
      </c>
      <c r="Q244" s="500">
        <f t="shared" si="135"/>
        <v>0.017802146396988405</v>
      </c>
      <c r="R244" s="500">
        <f t="shared" si="135"/>
        <v>0.018015054656011165</v>
      </c>
      <c r="S244" s="500">
        <f t="shared" si="135"/>
        <v>0.01865896444005566</v>
      </c>
      <c r="T244" s="500">
        <f>T$91/S$91-1</f>
        <v>0.017326610213063365</v>
      </c>
    </row>
    <row r="245" spans="1:20" s="330" customFormat="1" ht="12.75">
      <c r="A245" s="214" t="s">
        <v>709</v>
      </c>
      <c r="C245" s="497"/>
      <c r="D245" s="497"/>
      <c r="E245" s="498">
        <f aca="true" t="shared" si="136" ref="E245:T245">E$215</f>
        <v>0.04019607843137263</v>
      </c>
      <c r="F245" s="499">
        <f t="shared" si="136"/>
        <v>0.03408011310084835</v>
      </c>
      <c r="G245" s="499">
        <f t="shared" si="136"/>
        <v>0.022615682868207587</v>
      </c>
      <c r="H245" s="499">
        <f t="shared" si="136"/>
        <v>0.024041598186050894</v>
      </c>
      <c r="I245" s="499">
        <f t="shared" si="136"/>
        <v>0.024530308648100352</v>
      </c>
      <c r="J245" s="499">
        <f t="shared" si="136"/>
        <v>0.02420718187455928</v>
      </c>
      <c r="K245" s="500">
        <f t="shared" si="136"/>
        <v>0.02220718187455928</v>
      </c>
      <c r="L245" s="500">
        <f t="shared" si="136"/>
        <v>0.020207181874559277</v>
      </c>
      <c r="M245" s="500">
        <f t="shared" si="136"/>
        <v>0.02</v>
      </c>
      <c r="N245" s="500">
        <f t="shared" si="136"/>
        <v>0.02</v>
      </c>
      <c r="O245" s="500">
        <f t="shared" si="136"/>
        <v>0.02</v>
      </c>
      <c r="P245" s="500">
        <f t="shared" si="136"/>
        <v>0.02</v>
      </c>
      <c r="Q245" s="500">
        <f t="shared" si="136"/>
        <v>0.02</v>
      </c>
      <c r="R245" s="500">
        <f t="shared" si="136"/>
        <v>0.02</v>
      </c>
      <c r="S245" s="500">
        <f t="shared" si="136"/>
        <v>0.02</v>
      </c>
      <c r="T245" s="500">
        <f t="shared" si="136"/>
        <v>0.02</v>
      </c>
    </row>
    <row r="246" spans="1:20" s="330" customFormat="1" ht="12.75">
      <c r="A246" s="214" t="s">
        <v>652</v>
      </c>
      <c r="C246" s="497"/>
      <c r="D246" s="497"/>
      <c r="E246" s="501">
        <f aca="true" t="shared" si="137" ref="E246:T246">E$89/D$89-(1+E$244+E$245)</f>
        <v>0.03118743410260283</v>
      </c>
      <c r="F246" s="400">
        <f t="shared" si="137"/>
        <v>0.0421165270534003</v>
      </c>
      <c r="G246" s="400">
        <f t="shared" si="137"/>
        <v>-0.038402927340884574</v>
      </c>
      <c r="H246" s="400">
        <f t="shared" si="137"/>
        <v>-0.04522004193702478</v>
      </c>
      <c r="I246" s="400">
        <f t="shared" si="137"/>
        <v>-0.04411980763756873</v>
      </c>
      <c r="J246" s="400">
        <f t="shared" si="137"/>
        <v>-0.04155090778821946</v>
      </c>
      <c r="K246" s="408">
        <f t="shared" si="137"/>
        <v>-0.02357646427056248</v>
      </c>
      <c r="L246" s="408">
        <f t="shared" si="137"/>
        <v>-0.021311956824923817</v>
      </c>
      <c r="M246" s="408">
        <f t="shared" si="137"/>
        <v>-0.020980936549439333</v>
      </c>
      <c r="N246" s="408">
        <f t="shared" si="137"/>
        <v>-0.02113455815292209</v>
      </c>
      <c r="O246" s="408">
        <f t="shared" si="137"/>
        <v>-0.020844170406986162</v>
      </c>
      <c r="P246" s="408">
        <f t="shared" si="137"/>
        <v>-0.020813187828860213</v>
      </c>
      <c r="Q246" s="408">
        <f t="shared" si="137"/>
        <v>-0.02070445101872509</v>
      </c>
      <c r="R246" s="408">
        <f t="shared" si="137"/>
        <v>-0.02032025989348285</v>
      </c>
      <c r="S246" s="408">
        <f t="shared" si="137"/>
        <v>-0.020195659674959066</v>
      </c>
      <c r="T246" s="408">
        <f t="shared" si="137"/>
        <v>-0.020153900638698596</v>
      </c>
    </row>
    <row r="247" spans="1:20" s="330" customFormat="1" ht="12.75">
      <c r="A247" s="502" t="s">
        <v>642</v>
      </c>
      <c r="C247" s="497"/>
      <c r="D247" s="497"/>
      <c r="E247" s="503">
        <f aca="true" t="shared" si="138" ref="E247:S247">E$89/D$89-1</f>
        <v>0.0909705456301304</v>
      </c>
      <c r="F247" s="504">
        <f t="shared" si="138"/>
        <v>0.09560060192971576</v>
      </c>
      <c r="G247" s="504">
        <f t="shared" si="138"/>
        <v>0.0037973660822492317</v>
      </c>
      <c r="H247" s="504">
        <f t="shared" si="138"/>
        <v>-0.0018512556342562547</v>
      </c>
      <c r="I247" s="504">
        <f t="shared" si="138"/>
        <v>-0.000887025239899919</v>
      </c>
      <c r="J247" s="504">
        <f t="shared" si="138"/>
        <v>8.071025020162104E-05</v>
      </c>
      <c r="K247" s="505">
        <f t="shared" si="138"/>
        <v>0.016197606456280766</v>
      </c>
      <c r="L247" s="505">
        <f t="shared" si="138"/>
        <v>0.016692235372061326</v>
      </c>
      <c r="M247" s="505">
        <f t="shared" si="138"/>
        <v>0.01709335787868893</v>
      </c>
      <c r="N247" s="505">
        <f t="shared" si="138"/>
        <v>0.017432305055226083</v>
      </c>
      <c r="O247" s="505">
        <f t="shared" si="138"/>
        <v>0.01651879722039995</v>
      </c>
      <c r="P247" s="505">
        <f t="shared" si="138"/>
        <v>0.01674498806201785</v>
      </c>
      <c r="Q247" s="505">
        <f t="shared" si="138"/>
        <v>0.017097695378263333</v>
      </c>
      <c r="R247" s="505">
        <f t="shared" si="138"/>
        <v>0.017694794762528332</v>
      </c>
      <c r="S247" s="505">
        <f t="shared" si="138"/>
        <v>0.01846330476509661</v>
      </c>
      <c r="T247" s="505">
        <f>T$89/S$89-1</f>
        <v>0.017172709574364786</v>
      </c>
    </row>
    <row r="248" spans="1:20" s="330" customFormat="1" ht="12.75">
      <c r="A248" s="382" t="s">
        <v>506</v>
      </c>
      <c r="C248" s="497"/>
      <c r="D248" s="497"/>
      <c r="E248" s="498"/>
      <c r="F248" s="499"/>
      <c r="G248" s="499"/>
      <c r="H248" s="499"/>
      <c r="I248" s="499"/>
      <c r="J248" s="499"/>
      <c r="K248" s="500"/>
      <c r="L248" s="500"/>
      <c r="M248" s="500"/>
      <c r="N248" s="500"/>
      <c r="O248" s="500"/>
      <c r="P248" s="500"/>
      <c r="Q248" s="500"/>
      <c r="R248" s="500"/>
      <c r="S248" s="500"/>
      <c r="T248" s="500"/>
    </row>
    <row r="249" spans="1:20" s="330" customFormat="1" ht="12.75">
      <c r="A249" s="214" t="s">
        <v>640</v>
      </c>
      <c r="C249" s="497"/>
      <c r="D249" s="497"/>
      <c r="E249" s="498">
        <f>AVERAGE(Popn!E$198:E$200)</f>
        <v>0.0100888989353178</v>
      </c>
      <c r="F249" s="499">
        <f>AVERAGE(Popn!F$198:F$200)</f>
        <v>0.009799053644850897</v>
      </c>
      <c r="G249" s="499">
        <f>AVERAGE(Popn!G$198:G$200)</f>
        <v>0.009196410686126533</v>
      </c>
      <c r="H249" s="499">
        <f>AVERAGE(Popn!H$198:H$200)</f>
        <v>0.006481348486421641</v>
      </c>
      <c r="I249" s="499">
        <f>AVERAGE(Popn!I$198:I$200)</f>
        <v>0.0029676004591795793</v>
      </c>
      <c r="J249" s="499">
        <f>AVERAGE(Popn!J$198:J$200)</f>
        <v>0.00043921875583396996</v>
      </c>
      <c r="K249" s="500">
        <f>AVERAGE(Popn!K$198:K$200)</f>
        <v>-0.0014129918535461898</v>
      </c>
      <c r="L249" s="500">
        <f>AVERAGE(Popn!L$198:L$200)</f>
        <v>-0.003469831949740524</v>
      </c>
      <c r="M249" s="500">
        <f>AVERAGE(Popn!M$198:M$200)</f>
        <v>-0.004333652502099457</v>
      </c>
      <c r="N249" s="500">
        <f>AVERAGE(Popn!N$198:N$200)</f>
        <v>-0.0032994203536862074</v>
      </c>
      <c r="O249" s="500">
        <f>AVERAGE(Popn!O$198:O$200)</f>
        <v>-0.002251851116172543</v>
      </c>
      <c r="P249" s="500">
        <f>AVERAGE(Popn!P$198:P$200)</f>
        <v>-0.0013752784673047118</v>
      </c>
      <c r="Q249" s="500">
        <f>AVERAGE(Popn!Q$198:Q$200)</f>
        <v>-0.0020440162551587835</v>
      </c>
      <c r="R249" s="500">
        <f>AVERAGE(Popn!R$198:R$200)</f>
        <v>-0.0010197037167458307</v>
      </c>
      <c r="S249" s="500">
        <f>AVERAGE(Popn!S$198:S$200)</f>
        <v>0.0009472096853833841</v>
      </c>
      <c r="T249" s="500">
        <f>AVERAGE(Popn!T$198:T$200)</f>
        <v>0.0007757487895866758</v>
      </c>
    </row>
    <row r="250" spans="1:20" s="330" customFormat="1" ht="12.75">
      <c r="A250" s="214" t="s">
        <v>709</v>
      </c>
      <c r="C250" s="497"/>
      <c r="D250" s="497"/>
      <c r="E250" s="498">
        <f aca="true" t="shared" si="139" ref="E250:T250">E$215</f>
        <v>0.04019607843137263</v>
      </c>
      <c r="F250" s="499">
        <f t="shared" si="139"/>
        <v>0.03408011310084835</v>
      </c>
      <c r="G250" s="499">
        <f t="shared" si="139"/>
        <v>0.022615682868207587</v>
      </c>
      <c r="H250" s="499">
        <f t="shared" si="139"/>
        <v>0.024041598186050894</v>
      </c>
      <c r="I250" s="499">
        <f t="shared" si="139"/>
        <v>0.024530308648100352</v>
      </c>
      <c r="J250" s="499">
        <f t="shared" si="139"/>
        <v>0.02420718187455928</v>
      </c>
      <c r="K250" s="500">
        <f t="shared" si="139"/>
        <v>0.02220718187455928</v>
      </c>
      <c r="L250" s="500">
        <f t="shared" si="139"/>
        <v>0.020207181874559277</v>
      </c>
      <c r="M250" s="500">
        <f t="shared" si="139"/>
        <v>0.02</v>
      </c>
      <c r="N250" s="500">
        <f t="shared" si="139"/>
        <v>0.02</v>
      </c>
      <c r="O250" s="500">
        <f t="shared" si="139"/>
        <v>0.02</v>
      </c>
      <c r="P250" s="500">
        <f t="shared" si="139"/>
        <v>0.02</v>
      </c>
      <c r="Q250" s="500">
        <f t="shared" si="139"/>
        <v>0.02</v>
      </c>
      <c r="R250" s="500">
        <f t="shared" si="139"/>
        <v>0.02</v>
      </c>
      <c r="S250" s="500">
        <f t="shared" si="139"/>
        <v>0.02</v>
      </c>
      <c r="T250" s="500">
        <f t="shared" si="139"/>
        <v>0.02</v>
      </c>
    </row>
    <row r="251" spans="1:20" s="330" customFormat="1" ht="12.75">
      <c r="A251" s="214" t="s">
        <v>590</v>
      </c>
      <c r="C251" s="497"/>
      <c r="D251" s="497"/>
      <c r="E251" s="501">
        <f aca="true" t="shared" si="140" ref="E251:T251">E$95/D$95-(1+E$249+E$250)</f>
        <v>-0.019860983408334754</v>
      </c>
      <c r="F251" s="400">
        <f t="shared" si="140"/>
        <v>0.08050571441857679</v>
      </c>
      <c r="G251" s="400">
        <f t="shared" si="140"/>
        <v>0.0033867145283550393</v>
      </c>
      <c r="H251" s="400">
        <f t="shared" si="140"/>
        <v>-0.013881766497965131</v>
      </c>
      <c r="I251" s="400">
        <f t="shared" si="140"/>
        <v>-0.017145759045343878</v>
      </c>
      <c r="J251" s="400">
        <f t="shared" si="140"/>
        <v>-0.018603839985853465</v>
      </c>
      <c r="K251" s="408">
        <f t="shared" si="140"/>
        <v>-0.02220718187455928</v>
      </c>
      <c r="L251" s="408">
        <f t="shared" si="140"/>
        <v>-0.0202071818745595</v>
      </c>
      <c r="M251" s="408">
        <f t="shared" si="140"/>
        <v>-0.019999999999999907</v>
      </c>
      <c r="N251" s="408">
        <f t="shared" si="140"/>
        <v>-0.019999999999999907</v>
      </c>
      <c r="O251" s="408">
        <f t="shared" si="140"/>
        <v>-0.019999999999999796</v>
      </c>
      <c r="P251" s="408">
        <f t="shared" si="140"/>
        <v>-0.020000000000000018</v>
      </c>
      <c r="Q251" s="408">
        <f t="shared" si="140"/>
        <v>-0.019999999999999907</v>
      </c>
      <c r="R251" s="408">
        <f t="shared" si="140"/>
        <v>-0.02000000000000013</v>
      </c>
      <c r="S251" s="408">
        <f t="shared" si="140"/>
        <v>-0.020000000000000018</v>
      </c>
      <c r="T251" s="408">
        <f t="shared" si="140"/>
        <v>-0.020000000000000018</v>
      </c>
    </row>
    <row r="252" spans="1:20" s="330" customFormat="1" ht="12.75">
      <c r="A252" s="502" t="s">
        <v>642</v>
      </c>
      <c r="C252" s="497"/>
      <c r="D252" s="497"/>
      <c r="E252" s="503">
        <f aca="true" t="shared" si="141" ref="E252:S252">E$95/D$95-1</f>
        <v>0.03042399395835571</v>
      </c>
      <c r="F252" s="504">
        <f t="shared" si="141"/>
        <v>0.12438488116427604</v>
      </c>
      <c r="G252" s="504">
        <f t="shared" si="141"/>
        <v>0.03519880808268927</v>
      </c>
      <c r="H252" s="504">
        <f t="shared" si="141"/>
        <v>0.01664118017450744</v>
      </c>
      <c r="I252" s="504">
        <f t="shared" si="141"/>
        <v>0.010352150061936127</v>
      </c>
      <c r="J252" s="504">
        <f t="shared" si="141"/>
        <v>0.006042560644539785</v>
      </c>
      <c r="K252" s="505">
        <f t="shared" si="141"/>
        <v>-0.0014129918535461528</v>
      </c>
      <c r="L252" s="505">
        <f t="shared" si="141"/>
        <v>-0.0034698319497405983</v>
      </c>
      <c r="M252" s="505">
        <f t="shared" si="141"/>
        <v>-0.004333652502099494</v>
      </c>
      <c r="N252" s="505">
        <f t="shared" si="141"/>
        <v>-0.0032994203536861333</v>
      </c>
      <c r="O252" s="505">
        <f t="shared" si="141"/>
        <v>-0.002251851116172432</v>
      </c>
      <c r="P252" s="505">
        <f t="shared" si="141"/>
        <v>-0.0013752784673046747</v>
      </c>
      <c r="Q252" s="505">
        <f t="shared" si="141"/>
        <v>-0.0020440162551588203</v>
      </c>
      <c r="R252" s="505">
        <f t="shared" si="141"/>
        <v>-0.0010197037167459788</v>
      </c>
      <c r="S252" s="505">
        <f t="shared" si="141"/>
        <v>0.0009472096853833101</v>
      </c>
      <c r="T252" s="505">
        <f>T$95/S$95-1</f>
        <v>0.0007757487895867499</v>
      </c>
    </row>
    <row r="253" spans="1:20" s="330" customFormat="1" ht="12.75">
      <c r="A253" s="382" t="s">
        <v>653</v>
      </c>
      <c r="C253" s="497"/>
      <c r="D253" s="497"/>
      <c r="E253" s="498"/>
      <c r="F253" s="499"/>
      <c r="G253" s="499"/>
      <c r="H253" s="499"/>
      <c r="I253" s="499"/>
      <c r="J253" s="499"/>
      <c r="K253" s="500"/>
      <c r="L253" s="500"/>
      <c r="M253" s="500"/>
      <c r="N253" s="500"/>
      <c r="O253" s="500"/>
      <c r="P253" s="500"/>
      <c r="Q253" s="500"/>
      <c r="R253" s="500"/>
      <c r="S253" s="500"/>
      <c r="T253" s="500"/>
    </row>
    <row r="254" spans="1:20" s="330" customFormat="1" ht="12.75">
      <c r="A254" s="214" t="s">
        <v>709</v>
      </c>
      <c r="C254" s="497"/>
      <c r="D254" s="497"/>
      <c r="E254" s="498">
        <f aca="true" t="shared" si="142" ref="E254:T254">E$215</f>
        <v>0.04019607843137263</v>
      </c>
      <c r="F254" s="499">
        <f t="shared" si="142"/>
        <v>0.03408011310084835</v>
      </c>
      <c r="G254" s="499">
        <f t="shared" si="142"/>
        <v>0.022615682868207587</v>
      </c>
      <c r="H254" s="499">
        <f t="shared" si="142"/>
        <v>0.024041598186050894</v>
      </c>
      <c r="I254" s="499">
        <f t="shared" si="142"/>
        <v>0.024530308648100352</v>
      </c>
      <c r="J254" s="499">
        <f t="shared" si="142"/>
        <v>0.02420718187455928</v>
      </c>
      <c r="K254" s="500">
        <f t="shared" si="142"/>
        <v>0.02220718187455928</v>
      </c>
      <c r="L254" s="500">
        <f t="shared" si="142"/>
        <v>0.020207181874559277</v>
      </c>
      <c r="M254" s="500">
        <f t="shared" si="142"/>
        <v>0.02</v>
      </c>
      <c r="N254" s="500">
        <f t="shared" si="142"/>
        <v>0.02</v>
      </c>
      <c r="O254" s="500">
        <f t="shared" si="142"/>
        <v>0.02</v>
      </c>
      <c r="P254" s="500">
        <f t="shared" si="142"/>
        <v>0.02</v>
      </c>
      <c r="Q254" s="500">
        <f t="shared" si="142"/>
        <v>0.02</v>
      </c>
      <c r="R254" s="500">
        <f t="shared" si="142"/>
        <v>0.02</v>
      </c>
      <c r="S254" s="500">
        <f t="shared" si="142"/>
        <v>0.02</v>
      </c>
      <c r="T254" s="500">
        <f t="shared" si="142"/>
        <v>0.02</v>
      </c>
    </row>
    <row r="255" spans="1:20" s="330" customFormat="1" ht="12.75">
      <c r="A255" s="214" t="s">
        <v>224</v>
      </c>
      <c r="C255" s="497"/>
      <c r="D255" s="497"/>
      <c r="E255" s="501">
        <f aca="true" t="shared" si="143" ref="E255:T255">E$103/D$103-(1+E$254)</f>
        <v>-0.005514753997398092</v>
      </c>
      <c r="F255" s="400">
        <f t="shared" si="143"/>
        <v>0.05736941890016345</v>
      </c>
      <c r="G255" s="400">
        <f t="shared" si="143"/>
        <v>0.017771383999332313</v>
      </c>
      <c r="H255" s="400">
        <f t="shared" si="143"/>
        <v>-0.029945246194962194</v>
      </c>
      <c r="I255" s="400">
        <f t="shared" si="143"/>
        <v>-0.01494993999999683</v>
      </c>
      <c r="J255" s="400">
        <f t="shared" si="143"/>
        <v>0.015859410800246554</v>
      </c>
      <c r="K255" s="408">
        <f t="shared" si="143"/>
        <v>-0.004854060146873174</v>
      </c>
      <c r="L255" s="408">
        <f t="shared" si="143"/>
        <v>-0.018316010689131135</v>
      </c>
      <c r="M255" s="408">
        <f t="shared" si="143"/>
        <v>-0.017909496994137353</v>
      </c>
      <c r="N255" s="408">
        <f t="shared" si="143"/>
        <v>-0.017735140857779053</v>
      </c>
      <c r="O255" s="408">
        <f t="shared" si="143"/>
        <v>-0.017817545784432287</v>
      </c>
      <c r="P255" s="408">
        <f t="shared" si="143"/>
        <v>-0.023161026969260368</v>
      </c>
      <c r="Q255" s="408">
        <f t="shared" si="143"/>
        <v>-0.024376475320188162</v>
      </c>
      <c r="R255" s="408">
        <f t="shared" si="143"/>
        <v>-0.024509751468664742</v>
      </c>
      <c r="S255" s="408">
        <f t="shared" si="143"/>
        <v>-0.024716498040972756</v>
      </c>
      <c r="T255" s="408">
        <f t="shared" si="143"/>
        <v>-0.02472195446985559</v>
      </c>
    </row>
    <row r="256" spans="1:20" s="330" customFormat="1" ht="12.75">
      <c r="A256" s="502" t="s">
        <v>642</v>
      </c>
      <c r="C256" s="497"/>
      <c r="D256" s="497"/>
      <c r="E256" s="503">
        <f aca="true" t="shared" si="144" ref="E256:S256">E$103/D$103-1</f>
        <v>0.034681324433974536</v>
      </c>
      <c r="F256" s="504">
        <f t="shared" si="144"/>
        <v>0.0914495320010118</v>
      </c>
      <c r="G256" s="504">
        <f t="shared" si="144"/>
        <v>0.0403870668675399</v>
      </c>
      <c r="H256" s="504">
        <f t="shared" si="144"/>
        <v>-0.0059036480089113</v>
      </c>
      <c r="I256" s="504">
        <f t="shared" si="144"/>
        <v>0.009580368648103521</v>
      </c>
      <c r="J256" s="504">
        <f t="shared" si="144"/>
        <v>0.040066592674805834</v>
      </c>
      <c r="K256" s="505">
        <f t="shared" si="144"/>
        <v>0.017353121727686105</v>
      </c>
      <c r="L256" s="505">
        <f t="shared" si="144"/>
        <v>0.0018911711854281421</v>
      </c>
      <c r="M256" s="505">
        <f t="shared" si="144"/>
        <v>0.002090503005862665</v>
      </c>
      <c r="N256" s="505">
        <f t="shared" si="144"/>
        <v>0.002264859142220965</v>
      </c>
      <c r="O256" s="505">
        <f t="shared" si="144"/>
        <v>0.0021824542155677307</v>
      </c>
      <c r="P256" s="505">
        <f t="shared" si="144"/>
        <v>-0.00316102696926035</v>
      </c>
      <c r="Q256" s="505">
        <f t="shared" si="144"/>
        <v>-0.0043764753201881446</v>
      </c>
      <c r="R256" s="505">
        <f t="shared" si="144"/>
        <v>-0.004509751468664724</v>
      </c>
      <c r="S256" s="505">
        <f t="shared" si="144"/>
        <v>-0.004716498040972739</v>
      </c>
      <c r="T256" s="505">
        <f>T$103/S$103-1</f>
        <v>-0.0047219544698555715</v>
      </c>
    </row>
  </sheetData>
  <sheetProtection/>
  <printOptions/>
  <pageMargins left="0.75" right="0.75" top="1" bottom="1" header="0.5" footer="0.5"/>
  <pageSetup horizontalDpi="600" verticalDpi="600" orientation="landscape" paperSize="9" r:id="rId3"/>
  <ignoredErrors>
    <ignoredError sqref="K163:T163" formula="1"/>
    <ignoredError sqref="J3" twoDigitTextYea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5"/>
  <sheetViews>
    <sheetView zoomScale="85" zoomScaleNormal="85" zoomScalePageLayoutView="0" workbookViewId="0" topLeftCell="A1">
      <pane xSplit="1" ySplit="6" topLeftCell="B7" activePane="bottomRight" state="frozen"/>
      <selection pane="topLeft" activeCell="A4" sqref="A4"/>
      <selection pane="topRight" activeCell="B1" sqref="B1"/>
      <selection pane="bottomLeft" activeCell="A23" sqref="A23"/>
      <selection pane="bottomRight" activeCell="A1" sqref="A1"/>
    </sheetView>
  </sheetViews>
  <sheetFormatPr defaultColWidth="9.140625" defaultRowHeight="12.75"/>
  <cols>
    <col min="1" max="1" width="65.7109375" style="169" customWidth="1"/>
    <col min="2" max="2" width="8.7109375" style="0" customWidth="1"/>
    <col min="3" max="3" width="8.7109375" style="102" customWidth="1"/>
    <col min="4" max="4" width="8.7109375" style="171" customWidth="1"/>
    <col min="5" max="5" width="9.8515625" style="171" bestFit="1" customWidth="1"/>
    <col min="6" max="6" width="8.7109375" style="171" customWidth="1"/>
    <col min="7" max="7" width="9.421875" style="171" customWidth="1"/>
    <col min="8" max="9" width="8.7109375" style="171" customWidth="1"/>
    <col min="10" max="21" width="8.7109375" style="104" customWidth="1"/>
  </cols>
  <sheetData>
    <row r="1" spans="1:11" ht="15.75">
      <c r="A1" s="234" t="s">
        <v>137</v>
      </c>
      <c r="B1" s="43" t="s">
        <v>608</v>
      </c>
      <c r="C1" s="233">
        <f>MATCH($B$1,Scenarios!$B$3:$F$3,0)</f>
        <v>1</v>
      </c>
      <c r="D1" s="285" t="s">
        <v>552</v>
      </c>
      <c r="E1" s="286"/>
      <c r="F1" s="290" t="s">
        <v>553</v>
      </c>
      <c r="G1" s="287" t="s">
        <v>554</v>
      </c>
      <c r="H1" s="288"/>
      <c r="I1" s="291" t="s">
        <v>553</v>
      </c>
      <c r="J1" s="149"/>
      <c r="K1" s="452" t="s">
        <v>599</v>
      </c>
    </row>
    <row r="2" spans="1:21" ht="13.5">
      <c r="A2" s="235" t="s">
        <v>654</v>
      </c>
      <c r="C2"/>
      <c r="D2">
        <v>6</v>
      </c>
      <c r="E2">
        <v>7</v>
      </c>
      <c r="F2">
        <v>8</v>
      </c>
      <c r="G2">
        <v>9</v>
      </c>
      <c r="H2">
        <v>10</v>
      </c>
      <c r="I2">
        <v>11</v>
      </c>
      <c r="J2">
        <v>12</v>
      </c>
      <c r="K2"/>
      <c r="L2"/>
      <c r="M2"/>
      <c r="N2"/>
      <c r="O2"/>
      <c r="P2"/>
      <c r="Q2"/>
      <c r="R2"/>
      <c r="S2"/>
      <c r="T2"/>
      <c r="U2"/>
    </row>
    <row r="3" spans="1:21" ht="15.75">
      <c r="A3" s="78" t="s">
        <v>582</v>
      </c>
      <c r="B3" s="232"/>
      <c r="C3" s="232"/>
      <c r="D3" s="232" t="s">
        <v>257</v>
      </c>
      <c r="E3" s="453" t="s">
        <v>258</v>
      </c>
      <c r="F3" s="185" t="s">
        <v>259</v>
      </c>
      <c r="G3" s="185" t="s">
        <v>260</v>
      </c>
      <c r="H3" s="185" t="s">
        <v>261</v>
      </c>
      <c r="I3" s="185" t="s">
        <v>262</v>
      </c>
      <c r="J3" s="185" t="s">
        <v>263</v>
      </c>
      <c r="K3" s="184" t="s">
        <v>264</v>
      </c>
      <c r="L3" s="184" t="s">
        <v>265</v>
      </c>
      <c r="M3" s="184" t="s">
        <v>266</v>
      </c>
      <c r="N3" s="184" t="s">
        <v>267</v>
      </c>
      <c r="O3" s="184" t="s">
        <v>268</v>
      </c>
      <c r="P3" s="184" t="s">
        <v>269</v>
      </c>
      <c r="Q3" s="184" t="s">
        <v>270</v>
      </c>
      <c r="R3" s="184" t="s">
        <v>271</v>
      </c>
      <c r="S3" s="184" t="s">
        <v>272</v>
      </c>
      <c r="T3" s="184" t="s">
        <v>273</v>
      </c>
      <c r="U3" s="184"/>
    </row>
    <row r="4" spans="1:10" ht="15.75">
      <c r="A4" s="220" t="s">
        <v>116</v>
      </c>
      <c r="D4" s="102"/>
      <c r="E4" s="454"/>
      <c r="F4" s="102"/>
      <c r="G4" s="102"/>
      <c r="H4" s="102"/>
      <c r="I4" s="102"/>
      <c r="J4" s="102"/>
    </row>
    <row r="5" spans="1:21" ht="13.5">
      <c r="A5" s="225" t="s">
        <v>39</v>
      </c>
      <c r="C5"/>
      <c r="D5" s="166"/>
      <c r="E5" s="455"/>
      <c r="F5" s="168"/>
      <c r="G5" s="168"/>
      <c r="H5" s="168"/>
      <c r="I5" s="168"/>
      <c r="J5" s="168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7" ht="21" customHeight="1">
      <c r="A6" s="46"/>
      <c r="C6"/>
      <c r="D6" s="166">
        <f ca="1">OFFSET(D$8,Offsets!$B$1,0)/D$211</f>
        <v>0.18196855435401252</v>
      </c>
      <c r="E6" s="455">
        <f ca="1">OFFSET(E$8,Offsets!$B$1,0)/E$211</f>
        <v>0.174314030510904</v>
      </c>
      <c r="F6" s="168">
        <f ca="1">OFFSET(F$8,Offsets!$B$1,0)/F$211</f>
        <v>0.17401738500370253</v>
      </c>
      <c r="G6" s="168">
        <f ca="1">OFFSET(G$8,Offsets!$B$1,0)/G$211</f>
        <v>0.18037611082952207</v>
      </c>
      <c r="H6" s="168">
        <f ca="1">OFFSET(H$8,Offsets!$B$1,0)/H$211</f>
        <v>0.21923547654425082</v>
      </c>
      <c r="I6" s="168">
        <f ca="1">OFFSET(I$8,Offsets!$B$1,0)/I$211</f>
        <v>0.2313270245686799</v>
      </c>
      <c r="J6" s="168">
        <f ca="1">OFFSET(J$8,Offsets!$B$1,0)/J$211</f>
        <v>0.24330166997852928</v>
      </c>
      <c r="K6" s="167">
        <f ca="1">OFFSET(K$8,Offsets!$B$1,0)/K$211</f>
        <v>0.26176784825006083</v>
      </c>
      <c r="L6" s="167">
        <f ca="1">OFFSET(L$8,Offsets!$B$1,0)/L$211</f>
        <v>0.2783017397874954</v>
      </c>
      <c r="M6" s="167">
        <f ca="1">OFFSET(M$8,Offsets!$B$1,0)/M$211</f>
        <v>0.2904151945760151</v>
      </c>
      <c r="N6" s="167">
        <f ca="1">OFFSET(N$8,Offsets!$B$1,0)/N$211</f>
        <v>0.2974895249124964</v>
      </c>
      <c r="O6" s="167">
        <f ca="1">OFFSET(O$8,Offsets!$B$1,0)/O$211</f>
        <v>0.3010218595491022</v>
      </c>
      <c r="P6" s="167">
        <f ca="1">OFFSET(P$8,Offsets!$B$1,0)/P$211</f>
        <v>0.3011015797572104</v>
      </c>
      <c r="Q6" s="167">
        <f ca="1">OFFSET(Q$8,Offsets!$B$1,0)/Q$211</f>
        <v>0.29752357165252186</v>
      </c>
      <c r="R6" s="167">
        <f ca="1">OFFSET(R$8,Offsets!$B$1,0)/R$211</f>
        <v>0.2922986601426877</v>
      </c>
      <c r="S6" s="167">
        <f ca="1">OFFSET(S$8,Offsets!$B$1,0)/S$211</f>
        <v>0.285316844754354</v>
      </c>
      <c r="T6" s="167">
        <f ca="1">OFFSET(T$8,Offsets!$B$1,0)/T$211</f>
        <v>0.2769829497376178</v>
      </c>
      <c r="U6" s="167"/>
      <c r="V6" s="62"/>
      <c r="W6" s="62"/>
      <c r="X6" s="62"/>
      <c r="Y6" s="62"/>
      <c r="Z6" s="62"/>
      <c r="AA6" s="62"/>
    </row>
    <row r="7" spans="1:21" ht="15.75" customHeight="1">
      <c r="A7" s="220" t="s">
        <v>122</v>
      </c>
      <c r="C7" s="322"/>
      <c r="D7" s="323"/>
      <c r="E7" s="456"/>
      <c r="F7" s="329"/>
      <c r="G7" s="329"/>
      <c r="H7" s="329"/>
      <c r="I7" s="329"/>
      <c r="J7" s="329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18" s="304" customFormat="1" ht="12.75">
      <c r="A8" s="382" t="s">
        <v>613</v>
      </c>
      <c r="D8" s="384"/>
      <c r="E8" s="457"/>
      <c r="F8" s="247"/>
      <c r="G8" s="247"/>
      <c r="H8" s="247"/>
      <c r="I8" s="247"/>
      <c r="J8" s="247"/>
      <c r="K8" s="384"/>
      <c r="L8" s="384"/>
      <c r="M8" s="384"/>
      <c r="N8" s="384"/>
      <c r="O8" s="385"/>
      <c r="P8" s="384"/>
      <c r="Q8" s="384"/>
      <c r="R8" s="384"/>
    </row>
    <row r="9" spans="1:21" s="304" customFormat="1" ht="12.75">
      <c r="A9" s="302" t="s">
        <v>601</v>
      </c>
      <c r="B9" s="247"/>
      <c r="D9" s="247">
        <f aca="true" t="shared" si="0" ref="D9:T9">D$50</f>
        <v>53.06400000000001</v>
      </c>
      <c r="E9" s="247">
        <f t="shared" si="0"/>
        <v>56.372</v>
      </c>
      <c r="F9" s="224">
        <f t="shared" si="0"/>
        <v>55.538000000000004</v>
      </c>
      <c r="G9" s="224">
        <f t="shared" si="0"/>
        <v>56.8</v>
      </c>
      <c r="H9" s="224">
        <f t="shared" si="0"/>
        <v>58.67400000000001</v>
      </c>
      <c r="I9" s="224">
        <f t="shared" si="0"/>
        <v>61.269</v>
      </c>
      <c r="J9" s="224">
        <f t="shared" si="0"/>
        <v>64.374</v>
      </c>
      <c r="K9" s="303">
        <f t="shared" si="0"/>
        <v>68.13686610840297</v>
      </c>
      <c r="L9" s="303">
        <f t="shared" si="0"/>
        <v>71.56414108261139</v>
      </c>
      <c r="M9" s="303">
        <f t="shared" si="0"/>
        <v>75.15816292799808</v>
      </c>
      <c r="N9" s="303">
        <f t="shared" si="0"/>
        <v>79.06984599497926</v>
      </c>
      <c r="O9" s="303">
        <f t="shared" si="0"/>
        <v>83.08060240952639</v>
      </c>
      <c r="P9" s="303">
        <f t="shared" si="0"/>
        <v>87.23558583730139</v>
      </c>
      <c r="Q9" s="303">
        <f t="shared" si="0"/>
        <v>91.54633254446509</v>
      </c>
      <c r="R9" s="303">
        <f t="shared" si="0"/>
        <v>95.43186618081178</v>
      </c>
      <c r="S9" s="303">
        <f t="shared" si="0"/>
        <v>99.45876024836554</v>
      </c>
      <c r="T9" s="303">
        <f t="shared" si="0"/>
        <v>103.54345738962655</v>
      </c>
      <c r="U9" s="303"/>
    </row>
    <row r="10" spans="1:21" s="304" customFormat="1" ht="12.75">
      <c r="A10" s="302" t="s">
        <v>910</v>
      </c>
      <c r="B10" s="247"/>
      <c r="D10" s="247">
        <f aca="true" t="shared" si="1" ref="D10:T10">SUM(D$9,D$55,D$67,D$57)</f>
        <v>74.58900000000001</v>
      </c>
      <c r="E10" s="247">
        <f t="shared" si="1"/>
        <v>81.479</v>
      </c>
      <c r="F10" s="224">
        <f t="shared" si="1"/>
        <v>81.69</v>
      </c>
      <c r="G10" s="224">
        <f t="shared" si="1"/>
        <v>84.644</v>
      </c>
      <c r="H10" s="224">
        <f t="shared" si="1"/>
        <v>88.656</v>
      </c>
      <c r="I10" s="224">
        <f t="shared" si="1"/>
        <v>92.201</v>
      </c>
      <c r="J10" s="224">
        <f t="shared" si="1"/>
        <v>96.888</v>
      </c>
      <c r="K10" s="303">
        <f t="shared" si="1"/>
        <v>101.38928042339101</v>
      </c>
      <c r="L10" s="303">
        <f t="shared" si="1"/>
        <v>106.11851592677984</v>
      </c>
      <c r="M10" s="303">
        <f t="shared" si="1"/>
        <v>111.17501723326546</v>
      </c>
      <c r="N10" s="303">
        <f t="shared" si="1"/>
        <v>116.73366347114752</v>
      </c>
      <c r="O10" s="303">
        <f t="shared" si="1"/>
        <v>122.43121095121936</v>
      </c>
      <c r="P10" s="303">
        <f t="shared" si="1"/>
        <v>128.21166475783374</v>
      </c>
      <c r="Q10" s="303">
        <f t="shared" si="1"/>
        <v>134.19238073478502</v>
      </c>
      <c r="R10" s="303">
        <f t="shared" si="1"/>
        <v>139.79142955381133</v>
      </c>
      <c r="S10" s="303">
        <f t="shared" si="1"/>
        <v>145.59221371864464</v>
      </c>
      <c r="T10" s="303">
        <f t="shared" si="1"/>
        <v>151.46342531079807</v>
      </c>
      <c r="U10" s="303"/>
    </row>
    <row r="11" spans="1:21" s="304" customFormat="1" ht="12.75">
      <c r="A11" s="302" t="s">
        <v>911</v>
      </c>
      <c r="B11" s="247"/>
      <c r="D11" s="247">
        <f aca="true" t="shared" si="2" ref="D11:T11">SUM(D$12,D$108)</f>
        <v>68.72900000000001</v>
      </c>
      <c r="E11" s="247">
        <f t="shared" si="2"/>
        <v>75.84199999999998</v>
      </c>
      <c r="F11" s="224">
        <f t="shared" si="2"/>
        <v>81.75400000000002</v>
      </c>
      <c r="G11" s="224">
        <f t="shared" si="2"/>
        <v>86.38999999999999</v>
      </c>
      <c r="H11" s="224">
        <f t="shared" si="2"/>
        <v>91.137</v>
      </c>
      <c r="I11" s="224">
        <f t="shared" si="2"/>
        <v>95.29299999999999</v>
      </c>
      <c r="J11" s="224">
        <f t="shared" si="2"/>
        <v>100.262</v>
      </c>
      <c r="K11" s="303">
        <f t="shared" si="2"/>
        <v>104.11682296829964</v>
      </c>
      <c r="L11" s="303">
        <f t="shared" si="2"/>
        <v>108.41313981295013</v>
      </c>
      <c r="M11" s="303">
        <f t="shared" si="2"/>
        <v>112.8979379574104</v>
      </c>
      <c r="N11" s="303">
        <f t="shared" si="2"/>
        <v>117.61422666428169</v>
      </c>
      <c r="O11" s="303">
        <f t="shared" si="2"/>
        <v>122.40763864732018</v>
      </c>
      <c r="P11" s="303">
        <f t="shared" si="2"/>
        <v>127.19923530072722</v>
      </c>
      <c r="Q11" s="303">
        <f t="shared" si="2"/>
        <v>132.03629900293865</v>
      </c>
      <c r="R11" s="303">
        <f t="shared" si="2"/>
        <v>137.05475684781211</v>
      </c>
      <c r="S11" s="303">
        <f t="shared" si="2"/>
        <v>142.2408080656818</v>
      </c>
      <c r="T11" s="303">
        <f t="shared" si="2"/>
        <v>147.48841262595505</v>
      </c>
      <c r="U11" s="303"/>
    </row>
    <row r="12" spans="1:21" s="304" customFormat="1" ht="12.75">
      <c r="A12" s="302" t="s">
        <v>917</v>
      </c>
      <c r="B12" s="247"/>
      <c r="D12" s="247">
        <f>SUM($D$69:D$69,D$80,D$90,D$96,D$104)</f>
        <v>65.84400000000001</v>
      </c>
      <c r="E12" s="247">
        <f>SUM($D$69:E$69,E$80,E$90,E$96,E$104)</f>
        <v>72.74099999999999</v>
      </c>
      <c r="F12" s="224">
        <f>SUM($D$69:F$69,F$80,F$90,F$96,F$104)</f>
        <v>78.44300000000001</v>
      </c>
      <c r="G12" s="224">
        <f>SUM($D$69:G$69,G$80,G$90,G$96,G$104)</f>
        <v>82.93299999999999</v>
      </c>
      <c r="H12" s="224">
        <f>SUM($D$69:H$69,H$80,H$90,H$96,H$104)</f>
        <v>87.128</v>
      </c>
      <c r="I12" s="224">
        <f>SUM($D$69:I$69,I$80,I$90,I$96,I$104)</f>
        <v>90.859</v>
      </c>
      <c r="J12" s="224">
        <f>SUM($D$69:J$69,J$80,J$90,J$96,J$104)</f>
        <v>95.346</v>
      </c>
      <c r="K12" s="303">
        <f>SUM($D$69:K$69,K$80,K$90,K$96,K$104)</f>
        <v>99.53492296829964</v>
      </c>
      <c r="L12" s="303">
        <f>SUM($D$69:L$69,L$80,L$90,L$96,L$104)</f>
        <v>103.42014316801695</v>
      </c>
      <c r="M12" s="303">
        <f>SUM($D$69:M$69,M$80,M$90,M$96,M$104)</f>
        <v>107.49210809826258</v>
      </c>
      <c r="N12" s="303">
        <f>SUM($D$69:N$69,N$80,N$90,N$96,N$104)</f>
        <v>111.81601478413428</v>
      </c>
      <c r="O12" s="303">
        <f>SUM($D$69:O$69,O$80,O$90,O$96,O$104)</f>
        <v>116.24867207280668</v>
      </c>
      <c r="P12" s="303">
        <f>SUM($D$69:P$69,P$80,P$90,P$96,P$104)</f>
        <v>120.72307500472883</v>
      </c>
      <c r="Q12" s="303">
        <f>SUM($D$69:Q$69,Q$80,Q$90,Q$96,Q$104)</f>
        <v>125.29239809438602</v>
      </c>
      <c r="R12" s="303">
        <f>SUM($D$69:R$69,R$80,R$90,R$96,R$104)</f>
        <v>130.10324535122473</v>
      </c>
      <c r="S12" s="303">
        <f>SUM($D$69:S$69,S$80,S$90,S$96,S$104)</f>
        <v>135.1127391336746</v>
      </c>
      <c r="T12" s="303">
        <f>SUM($D$69:T$69,T$80,T$90,T$96,T$104)</f>
        <v>140.2179050719397</v>
      </c>
      <c r="U12" s="303"/>
    </row>
    <row r="13" spans="1:21" s="304" customFormat="1" ht="12.75">
      <c r="A13" s="302" t="s">
        <v>913</v>
      </c>
      <c r="B13" s="247"/>
      <c r="D13" s="247">
        <f aca="true" t="shared" si="3" ref="D13:T13">D$10-D$11</f>
        <v>5.859999999999999</v>
      </c>
      <c r="E13" s="247">
        <f t="shared" si="3"/>
        <v>5.637000000000015</v>
      </c>
      <c r="F13" s="224">
        <f t="shared" si="3"/>
        <v>-0.06400000000002137</v>
      </c>
      <c r="G13" s="224">
        <f t="shared" si="3"/>
        <v>-1.745999999999981</v>
      </c>
      <c r="H13" s="224">
        <f t="shared" si="3"/>
        <v>-2.4809999999999945</v>
      </c>
      <c r="I13" s="224">
        <f t="shared" si="3"/>
        <v>-3.0919999999999987</v>
      </c>
      <c r="J13" s="224">
        <f t="shared" si="3"/>
        <v>-3.3739999999999952</v>
      </c>
      <c r="K13" s="303">
        <f t="shared" si="3"/>
        <v>-2.72754254490863</v>
      </c>
      <c r="L13" s="303">
        <f t="shared" si="3"/>
        <v>-2.2946238861702994</v>
      </c>
      <c r="M13" s="303">
        <f t="shared" si="3"/>
        <v>-1.7229207241449416</v>
      </c>
      <c r="N13" s="303">
        <f>N$10-N$11</f>
        <v>-0.8805631931341651</v>
      </c>
      <c r="O13" s="303">
        <f t="shared" si="3"/>
        <v>0.023572303899172198</v>
      </c>
      <c r="P13" s="303">
        <f t="shared" si="3"/>
        <v>1.0124294571065207</v>
      </c>
      <c r="Q13" s="303">
        <f t="shared" si="3"/>
        <v>2.1560817318463705</v>
      </c>
      <c r="R13" s="303">
        <f t="shared" si="3"/>
        <v>2.7366727059992115</v>
      </c>
      <c r="S13" s="303">
        <f t="shared" si="3"/>
        <v>3.3514056529628533</v>
      </c>
      <c r="T13" s="303">
        <f t="shared" si="3"/>
        <v>3.9750126848430227</v>
      </c>
      <c r="U13" s="303"/>
    </row>
    <row r="14" spans="1:21" s="304" customFormat="1" ht="12.75">
      <c r="A14" s="302" t="s">
        <v>199</v>
      </c>
      <c r="B14" s="247"/>
      <c r="D14" s="247">
        <f>D$13-(D$113-D$116-D$115)</f>
        <v>6.079</v>
      </c>
      <c r="E14" s="247">
        <f>E$13-(E$113-E$116-E$115)</f>
        <v>5.506000000000014</v>
      </c>
      <c r="F14" s="224">
        <f aca="true" t="shared" si="4" ref="F14:T14">F$13-(F$113-F$116-F$122)</f>
        <v>-0.031000000000021344</v>
      </c>
      <c r="G14" s="224">
        <f t="shared" si="4"/>
        <v>-1.664999999999981</v>
      </c>
      <c r="H14" s="224">
        <f t="shared" si="4"/>
        <v>-2.3759999999999946</v>
      </c>
      <c r="I14" s="224">
        <f t="shared" si="4"/>
        <v>-2.961999999999999</v>
      </c>
      <c r="J14" s="224">
        <f t="shared" si="4"/>
        <v>-3.2239999999999953</v>
      </c>
      <c r="K14" s="298">
        <f t="shared" si="4"/>
        <v>-2.614209947969358</v>
      </c>
      <c r="L14" s="298">
        <f t="shared" si="4"/>
        <v>-2.1869598579749208</v>
      </c>
      <c r="M14" s="298">
        <f t="shared" si="4"/>
        <v>-1.6212035052529326</v>
      </c>
      <c r="N14" s="298">
        <f t="shared" si="4"/>
        <v>-0.7851512193580366</v>
      </c>
      <c r="O14" s="298">
        <f t="shared" si="4"/>
        <v>0.112274270797901</v>
      </c>
      <c r="P14" s="298">
        <f t="shared" si="4"/>
        <v>1.094015094084737</v>
      </c>
      <c r="Q14" s="298">
        <f t="shared" si="4"/>
        <v>2.2301525666590423</v>
      </c>
      <c r="R14" s="298">
        <f t="shared" si="4"/>
        <v>2.8028837278567824</v>
      </c>
      <c r="S14" s="298">
        <f t="shared" si="4"/>
        <v>3.4094759978897113</v>
      </c>
      <c r="T14" s="298">
        <f t="shared" si="4"/>
        <v>4.02468966915492</v>
      </c>
      <c r="U14" s="298"/>
    </row>
    <row r="15" spans="1:21" s="304" customFormat="1" ht="12.75">
      <c r="A15" s="302" t="s">
        <v>912</v>
      </c>
      <c r="B15" s="247"/>
      <c r="D15" s="247">
        <f>SUM(Data!C$34:C$36)</f>
        <v>2.243</v>
      </c>
      <c r="E15" s="247">
        <f>SUM(Data!D$34:D$36)</f>
        <v>-3.207</v>
      </c>
      <c r="F15" s="224">
        <f>SUM(Data!E$34:E$36)</f>
        <v>1.974</v>
      </c>
      <c r="G15" s="224">
        <f>SUM(Data!F$34:F$36)</f>
        <v>2.121</v>
      </c>
      <c r="H15" s="224">
        <f>SUM(Data!G$34:G$36)</f>
        <v>2.4109999999999996</v>
      </c>
      <c r="I15" s="224">
        <f>SUM(Data!H$34:H$36)</f>
        <v>2.697</v>
      </c>
      <c r="J15" s="224">
        <f>SUM(Data!I$34:I$36)</f>
        <v>2.993</v>
      </c>
      <c r="K15" s="303">
        <f ca="1">SUM(J$15,K$22-J$22,(K$128-K$129-(J$128-J$129))*(1-OFFSET(Scenarios!$A$21,0,$C$1)),(K$137-K$138-(J$137-J$138))*(1-OFFSET(Scenarios!$A$22,0,$C$1)))</f>
        <v>3.21359730613157</v>
      </c>
      <c r="L15" s="303">
        <f ca="1">SUM(K$15,L$22-K$22,(L$128-L$129-(K$128-K$129))*(1-OFFSET(Scenarios!$A$21,0,$C$1)),(L$137-L$138-(K$137-K$138))*(1-OFFSET(Scenarios!$A$22,0,$C$1)))</f>
        <v>3.5081308801196665</v>
      </c>
      <c r="M15" s="303">
        <f ca="1">SUM(L$15,M$22-L$22,(M$128-M$129-(L$128-L$129))*(1-OFFSET(Scenarios!$A$21,0,$C$1)),(M$137-M$138-(L$137-L$138))*(1-OFFSET(Scenarios!$A$22,0,$C$1)))</f>
        <v>3.817394334611297</v>
      </c>
      <c r="N15" s="303">
        <f ca="1">SUM(M$15,N$22-M$22,(N$128-N$129-(M$128-M$129))*(1-OFFSET(Scenarios!$A$21,0,$C$1)),(N$137-N$138-(M$137-M$138))*(1-OFFSET(Scenarios!$A$22,0,$C$1)))</f>
        <v>4.145351081286213</v>
      </c>
      <c r="O15" s="303">
        <f ca="1">SUM(N$15,O$22-N$22,(O$128-O$129-(N$128-N$129))*(1-OFFSET(Scenarios!$A$21,0,$C$1)),(O$137-O$138-(N$137-N$138))*(1-OFFSET(Scenarios!$A$22,0,$C$1)))</f>
        <v>4.4943287842815165</v>
      </c>
      <c r="P15" s="303">
        <f ca="1">SUM(O$15,P$22-O$22,(P$128-P$129-(O$128-O$129))*(1-OFFSET(Scenarios!$A$21,0,$C$1)),(P$137-P$138-(O$137-O$138))*(1-OFFSET(Scenarios!$A$22,0,$C$1)))</f>
        <v>4.864491880253533</v>
      </c>
      <c r="Q15" s="303">
        <f ca="1">SUM(P$15,Q$22-P$22,(Q$128-Q$129-(P$128-P$129))*(1-OFFSET(Scenarios!$A$21,0,$C$1)),(Q$137-Q$138-(P$137-P$138))*(1-OFFSET(Scenarios!$A$22,0,$C$1)))</f>
        <v>5.255554451872478</v>
      </c>
      <c r="R15" s="303">
        <f ca="1">SUM(Q$15,R$22-Q$22,(R$128-R$129-(Q$128-Q$129))*(1-OFFSET(Scenarios!$A$21,0,$C$1)),(R$137-R$138-(Q$137-Q$138))*(1-OFFSET(Scenarios!$A$22,0,$C$1)))</f>
        <v>5.665027055149294</v>
      </c>
      <c r="S15" s="303">
        <f ca="1">SUM(R$15,S$22-R$22,(S$128-S$129-(R$128-R$129))*(1-OFFSET(Scenarios!$A$21,0,$C$1)),(S$137-S$138-(R$137-R$138))*(1-OFFSET(Scenarios!$A$22,0,$C$1)))</f>
        <v>6.089908937267116</v>
      </c>
      <c r="T15" s="303">
        <f ca="1">SUM(S$15,T$22-S$22,(T$128-T$129-(S$128-S$129))*(1-OFFSET(Scenarios!$A$21,0,$C$1)),(T$137-T$138-(S$137-S$138))*(1-OFFSET(Scenarios!$A$22,0,$C$1)))</f>
        <v>6.528948334658255</v>
      </c>
      <c r="U15" s="303"/>
    </row>
    <row r="16" spans="1:21" s="304" customFormat="1" ht="12.75">
      <c r="A16" s="302" t="s">
        <v>568</v>
      </c>
      <c r="B16" s="386"/>
      <c r="D16" s="247">
        <f aca="true" t="shared" si="5" ref="D16:T16">SUM(D$13,D$15)</f>
        <v>8.103</v>
      </c>
      <c r="E16" s="247">
        <f t="shared" si="5"/>
        <v>2.430000000000015</v>
      </c>
      <c r="F16" s="224">
        <f t="shared" si="5"/>
        <v>1.9099999999999786</v>
      </c>
      <c r="G16" s="224">
        <f t="shared" si="5"/>
        <v>0.3750000000000191</v>
      </c>
      <c r="H16" s="224">
        <f t="shared" si="5"/>
        <v>-0.06999999999999496</v>
      </c>
      <c r="I16" s="224">
        <f t="shared" si="5"/>
        <v>-0.3949999999999987</v>
      </c>
      <c r="J16" s="224">
        <f t="shared" si="5"/>
        <v>-0.38099999999999534</v>
      </c>
      <c r="K16" s="303">
        <f t="shared" si="5"/>
        <v>0.48605476122294</v>
      </c>
      <c r="L16" s="303">
        <f t="shared" si="5"/>
        <v>1.213506993949367</v>
      </c>
      <c r="M16" s="303">
        <f t="shared" si="5"/>
        <v>2.0944736104663555</v>
      </c>
      <c r="N16" s="303">
        <f t="shared" si="5"/>
        <v>3.264787888152048</v>
      </c>
      <c r="O16" s="303">
        <f t="shared" si="5"/>
        <v>4.517901088180689</v>
      </c>
      <c r="P16" s="303">
        <f t="shared" si="5"/>
        <v>5.876921337360054</v>
      </c>
      <c r="Q16" s="303">
        <f t="shared" si="5"/>
        <v>7.411636183718849</v>
      </c>
      <c r="R16" s="303">
        <f t="shared" si="5"/>
        <v>8.401699761148507</v>
      </c>
      <c r="S16" s="303">
        <f t="shared" si="5"/>
        <v>9.441314590229968</v>
      </c>
      <c r="T16" s="303">
        <f t="shared" si="5"/>
        <v>10.503961019501277</v>
      </c>
      <c r="U16" s="303"/>
    </row>
    <row r="17" spans="1:21" s="304" customFormat="1" ht="12.75">
      <c r="A17" s="382" t="s">
        <v>616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</row>
    <row r="18" spans="1:21" s="304" customFormat="1" ht="12.75">
      <c r="A18" s="302" t="s">
        <v>601</v>
      </c>
      <c r="B18" s="247"/>
      <c r="D18" s="247">
        <f aca="true" t="shared" si="6" ref="D18:T18">D$52</f>
        <v>53.477</v>
      </c>
      <c r="E18" s="247">
        <f t="shared" si="6"/>
        <v>56.905</v>
      </c>
      <c r="F18" s="224">
        <f t="shared" si="6"/>
        <v>56.058</v>
      </c>
      <c r="G18" s="224">
        <f t="shared" si="6"/>
        <v>57.415</v>
      </c>
      <c r="H18" s="224">
        <f t="shared" si="6"/>
        <v>59.268</v>
      </c>
      <c r="I18" s="224">
        <f t="shared" si="6"/>
        <v>61.893</v>
      </c>
      <c r="J18" s="224">
        <f t="shared" si="6"/>
        <v>65.084</v>
      </c>
      <c r="K18" s="303">
        <f t="shared" si="6"/>
        <v>68.87739855494767</v>
      </c>
      <c r="L18" s="303">
        <f t="shared" si="6"/>
        <v>72.33410306936936</v>
      </c>
      <c r="M18" s="303">
        <f t="shared" si="6"/>
        <v>75.9615119116212</v>
      </c>
      <c r="N18" s="303">
        <f t="shared" si="6"/>
        <v>79.9111176186421</v>
      </c>
      <c r="O18" s="303">
        <f t="shared" si="6"/>
        <v>83.96060431385006</v>
      </c>
      <c r="P18" s="303">
        <f t="shared" si="6"/>
        <v>88.15514379937459</v>
      </c>
      <c r="Q18" s="303">
        <f t="shared" si="6"/>
        <v>92.50636548294428</v>
      </c>
      <c r="R18" s="303">
        <f t="shared" si="6"/>
        <v>96.43328349302078</v>
      </c>
      <c r="S18" s="303">
        <f t="shared" si="6"/>
        <v>100.50292105053727</v>
      </c>
      <c r="T18" s="303">
        <f t="shared" si="6"/>
        <v>104.63050109756745</v>
      </c>
      <c r="U18" s="303"/>
    </row>
    <row r="19" spans="1:21" s="304" customFormat="1" ht="12.75">
      <c r="A19" s="302" t="s">
        <v>910</v>
      </c>
      <c r="B19" s="247"/>
      <c r="D19" s="247">
        <f>SUM(D$18,D$56:D$57,D$64)</f>
        <v>58.211</v>
      </c>
      <c r="E19" s="247">
        <f>SUM(E$18,E$56:E$57,E$64)</f>
        <v>61.977000000000004</v>
      </c>
      <c r="F19" s="224">
        <f aca="true" t="shared" si="7" ref="F19:T19">SUM(F$18,F$56,F$57,F$64)</f>
        <v>61.207</v>
      </c>
      <c r="G19" s="224">
        <f t="shared" si="7"/>
        <v>62.888</v>
      </c>
      <c r="H19" s="224">
        <f t="shared" si="7"/>
        <v>65.422</v>
      </c>
      <c r="I19" s="224">
        <f t="shared" si="7"/>
        <v>68.408</v>
      </c>
      <c r="J19" s="224">
        <f t="shared" si="7"/>
        <v>72.161</v>
      </c>
      <c r="K19" s="303">
        <f t="shared" si="7"/>
        <v>75.54185796372872</v>
      </c>
      <c r="L19" s="303">
        <f t="shared" si="7"/>
        <v>79.17990119699436</v>
      </c>
      <c r="M19" s="303">
        <f t="shared" si="7"/>
        <v>82.99496330316838</v>
      </c>
      <c r="N19" s="303">
        <f t="shared" si="7"/>
        <v>87.14064165072989</v>
      </c>
      <c r="O19" s="303">
        <f t="shared" si="7"/>
        <v>91.39319299544688</v>
      </c>
      <c r="P19" s="303">
        <f t="shared" si="7"/>
        <v>95.69578648324354</v>
      </c>
      <c r="Q19" s="303">
        <f t="shared" si="7"/>
        <v>100.16212166286344</v>
      </c>
      <c r="R19" s="303">
        <f t="shared" si="7"/>
        <v>104.21044710972829</v>
      </c>
      <c r="S19" s="303">
        <f t="shared" si="7"/>
        <v>108.40712841142025</v>
      </c>
      <c r="T19" s="303">
        <f t="shared" si="7"/>
        <v>112.666342398157</v>
      </c>
      <c r="U19" s="303"/>
    </row>
    <row r="20" spans="1:21" s="304" customFormat="1" ht="12.75">
      <c r="A20" s="302" t="s">
        <v>911</v>
      </c>
      <c r="B20" s="247"/>
      <c r="D20" s="247">
        <f aca="true" t="shared" si="8" ref="D20:T20">SUM(D$21,D$107)</f>
        <v>54.00300000000001</v>
      </c>
      <c r="E20" s="247">
        <f t="shared" si="8"/>
        <v>56.997</v>
      </c>
      <c r="F20" s="224">
        <f t="shared" si="8"/>
        <v>62.358999999999995</v>
      </c>
      <c r="G20" s="224">
        <f t="shared" si="8"/>
        <v>65.849</v>
      </c>
      <c r="H20" s="224">
        <f t="shared" si="8"/>
        <v>68.89099999999999</v>
      </c>
      <c r="I20" s="224">
        <f t="shared" si="8"/>
        <v>72.252</v>
      </c>
      <c r="J20" s="224">
        <f t="shared" si="8"/>
        <v>76.15700000000001</v>
      </c>
      <c r="K20" s="303">
        <f t="shared" si="8"/>
        <v>79.0599656861037</v>
      </c>
      <c r="L20" s="303">
        <f t="shared" si="8"/>
        <v>82.42946484152401</v>
      </c>
      <c r="M20" s="303">
        <f t="shared" si="8"/>
        <v>85.83160001183231</v>
      </c>
      <c r="N20" s="303">
        <f t="shared" si="8"/>
        <v>89.3145167788365</v>
      </c>
      <c r="O20" s="303">
        <f t="shared" si="8"/>
        <v>92.84019862075725</v>
      </c>
      <c r="P20" s="303">
        <f t="shared" si="8"/>
        <v>96.33667526848122</v>
      </c>
      <c r="Q20" s="303">
        <f t="shared" si="8"/>
        <v>99.85016820135628</v>
      </c>
      <c r="R20" s="303">
        <f t="shared" si="8"/>
        <v>103.51499518069967</v>
      </c>
      <c r="S20" s="303">
        <f t="shared" si="8"/>
        <v>107.30224596853728</v>
      </c>
      <c r="T20" s="303">
        <f t="shared" si="8"/>
        <v>111.14508154346117</v>
      </c>
      <c r="U20" s="303"/>
    </row>
    <row r="21" spans="1:21" s="304" customFormat="1" ht="12.75">
      <c r="A21" s="302" t="s">
        <v>917</v>
      </c>
      <c r="B21" s="247"/>
      <c r="D21" s="247">
        <f>SUM($D$69:D$69,D$77,D$89,D$95,D$103)</f>
        <v>51.67400000000001</v>
      </c>
      <c r="E21" s="247">
        <f>SUM($D$69:E$69,E$77,E$89,E$95,E$103)</f>
        <v>54.537</v>
      </c>
      <c r="F21" s="224">
        <f>SUM($D$69:F$69,F$77,F$89,F$95,F$103)</f>
        <v>59.702</v>
      </c>
      <c r="G21" s="224">
        <f>SUM($D$69:G$69,G$77,G$89,G$95,G$103)</f>
        <v>63.223</v>
      </c>
      <c r="H21" s="224">
        <f>SUM($D$69:H$69,H$77,H$89,H$95,H$103)</f>
        <v>65.83</v>
      </c>
      <c r="I21" s="224">
        <f>SUM($D$69:I$69,I$77,I$89,I$95,I$103)</f>
        <v>68.797</v>
      </c>
      <c r="J21" s="224">
        <f>SUM($D$69:J$69,J$77,J$89,J$95,J$103)</f>
        <v>72.299</v>
      </c>
      <c r="K21" s="303">
        <f>SUM($D$69:K$69,K$77,K$89,K$95,K$103)</f>
        <v>75.53112568610369</v>
      </c>
      <c r="L21" s="303">
        <f>SUM($D$69:L$69,L$77,L$89,L$95,L$103)</f>
        <v>78.49721088344484</v>
      </c>
      <c r="M21" s="303">
        <f>SUM($D$69:M$69,M$77,M$89,M$95,M$103)</f>
        <v>81.5261386347075</v>
      </c>
      <c r="N21" s="303">
        <f>SUM($D$69:N$69,N$77,N$89,N$95,N$103)</f>
        <v>84.66257939498801</v>
      </c>
      <c r="O21" s="303">
        <f>SUM($D$69:O$69,O$77,O$89,O$95,O$103)</f>
        <v>87.88068026921223</v>
      </c>
      <c r="P21" s="303">
        <f>SUM($D$69:P$69,P$77,P$89,P$95,P$103)</f>
        <v>91.11363540816127</v>
      </c>
      <c r="Q21" s="303">
        <f>SUM($D$69:Q$69,Q$77,Q$89,Q$95,Q$103)</f>
        <v>94.41353053894466</v>
      </c>
      <c r="R21" s="303">
        <f>SUM($D$69:R$69,R$77,R$89,R$95,R$103)</f>
        <v>97.92546365630041</v>
      </c>
      <c r="S21" s="303">
        <f>SUM($D$69:S$69,S$77,S$89,S$95,S$103)</f>
        <v>101.59136203774429</v>
      </c>
      <c r="T21" s="303">
        <f>SUM($D$69:T$69,T$77,T$89,T$95,T$103)</f>
        <v>105.3481892305808</v>
      </c>
      <c r="U21" s="303"/>
    </row>
    <row r="22" spans="1:21" s="304" customFormat="1" ht="12.75">
      <c r="A22" s="302" t="s">
        <v>912</v>
      </c>
      <c r="B22" s="247"/>
      <c r="D22" s="247">
        <f>Data!C$113</f>
        <v>2.303</v>
      </c>
      <c r="E22" s="247">
        <f>Data!D$113</f>
        <v>-0.932</v>
      </c>
      <c r="F22" s="224">
        <f>Data!E$113</f>
        <v>1.38</v>
      </c>
      <c r="G22" s="224">
        <f>Data!F$113</f>
        <v>1.619</v>
      </c>
      <c r="H22" s="224">
        <f>Data!G$113</f>
        <v>1.869</v>
      </c>
      <c r="I22" s="224">
        <f>Data!H$113</f>
        <v>2.123</v>
      </c>
      <c r="J22" s="224">
        <f>Data!I$113</f>
        <v>2.398</v>
      </c>
      <c r="K22" s="303">
        <f aca="true" t="shared" si="9" ref="K22:S22">SUM(J$22,K$114-J$114)</f>
        <v>2.602782998862948</v>
      </c>
      <c r="L22" s="303">
        <f t="shared" si="9"/>
        <v>2.8773786524970046</v>
      </c>
      <c r="M22" s="303">
        <f t="shared" si="9"/>
        <v>3.1654527786959825</v>
      </c>
      <c r="N22" s="303">
        <f t="shared" si="9"/>
        <v>3.4708901795889933</v>
      </c>
      <c r="O22" s="303">
        <f t="shared" si="9"/>
        <v>3.795934967371385</v>
      </c>
      <c r="P22" s="303">
        <f t="shared" si="9"/>
        <v>4.140662773328378</v>
      </c>
      <c r="Q22" s="303">
        <f t="shared" si="9"/>
        <v>4.504693290696896</v>
      </c>
      <c r="R22" s="303">
        <f t="shared" si="9"/>
        <v>4.885436750529213</v>
      </c>
      <c r="S22" s="303">
        <f t="shared" si="9"/>
        <v>5.279785765917076</v>
      </c>
      <c r="T22" s="303">
        <f>SUM(S$22,T$114-S$114)</f>
        <v>5.686375232920429</v>
      </c>
      <c r="U22" s="303"/>
    </row>
    <row r="23" spans="1:21" s="304" customFormat="1" ht="12.75">
      <c r="A23" s="302" t="s">
        <v>568</v>
      </c>
      <c r="B23" s="247"/>
      <c r="D23" s="247">
        <f aca="true" t="shared" si="10" ref="D23:T23">D$19-D$20+D$22</f>
        <v>6.510999999999991</v>
      </c>
      <c r="E23" s="247">
        <f t="shared" si="10"/>
        <v>4.048000000000004</v>
      </c>
      <c r="F23" s="224">
        <f t="shared" si="10"/>
        <v>0.22800000000000598</v>
      </c>
      <c r="G23" s="224">
        <f t="shared" si="10"/>
        <v>-1.3420000000000056</v>
      </c>
      <c r="H23" s="224">
        <f t="shared" si="10"/>
        <v>-1.599999999999994</v>
      </c>
      <c r="I23" s="224">
        <f t="shared" si="10"/>
        <v>-1.7209999999999939</v>
      </c>
      <c r="J23" s="224">
        <f t="shared" si="10"/>
        <v>-1.5980000000000092</v>
      </c>
      <c r="K23" s="303">
        <f t="shared" si="10"/>
        <v>-0.9153247235120303</v>
      </c>
      <c r="L23" s="303">
        <f t="shared" si="10"/>
        <v>-0.37218499203263944</v>
      </c>
      <c r="M23" s="303">
        <f t="shared" si="10"/>
        <v>0.32881607003205104</v>
      </c>
      <c r="N23" s="303">
        <f>N$19-N$20+N$22</f>
        <v>1.2970150514823775</v>
      </c>
      <c r="O23" s="303">
        <f t="shared" si="10"/>
        <v>2.3489293420610173</v>
      </c>
      <c r="P23" s="303">
        <f t="shared" si="10"/>
        <v>3.4997739880907</v>
      </c>
      <c r="Q23" s="303">
        <f t="shared" si="10"/>
        <v>4.816646752204055</v>
      </c>
      <c r="R23" s="303">
        <f t="shared" si="10"/>
        <v>5.580888679557835</v>
      </c>
      <c r="S23" s="303">
        <f t="shared" si="10"/>
        <v>6.3846682088000435</v>
      </c>
      <c r="T23" s="303">
        <f t="shared" si="10"/>
        <v>7.207636087616254</v>
      </c>
      <c r="U23" s="303"/>
    </row>
    <row r="24" spans="1:21" s="304" customFormat="1" ht="15.75" customHeight="1">
      <c r="A24" s="383" t="s">
        <v>123</v>
      </c>
      <c r="D24" s="387"/>
      <c r="E24" s="457"/>
      <c r="F24" s="224"/>
      <c r="G24" s="224"/>
      <c r="H24" s="224"/>
      <c r="I24" s="224"/>
      <c r="J24" s="224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</row>
    <row r="25" spans="1:21" s="304" customFormat="1" ht="12.75">
      <c r="A25" s="382" t="s">
        <v>615</v>
      </c>
      <c r="B25" s="386"/>
      <c r="D25" s="386"/>
      <c r="E25" s="457"/>
      <c r="F25" s="247"/>
      <c r="G25" s="247"/>
      <c r="H25" s="247"/>
      <c r="I25" s="247"/>
      <c r="J25" s="247"/>
      <c r="K25" s="386"/>
      <c r="L25" s="386"/>
      <c r="M25" s="386"/>
      <c r="N25" s="386"/>
      <c r="O25" s="384"/>
      <c r="P25" s="384"/>
      <c r="Q25" s="386"/>
      <c r="R25" s="386"/>
      <c r="S25" s="386"/>
      <c r="T25" s="386"/>
      <c r="U25" s="386"/>
    </row>
    <row r="26" spans="1:21" s="304" customFormat="1" ht="12.75">
      <c r="A26" s="302" t="s">
        <v>478</v>
      </c>
      <c r="B26" s="386"/>
      <c r="D26" s="247">
        <f>SUM(D$148,D$157,D$166,D$168,D$173,$D$175:D$175,D$183)</f>
        <v>180.34900000000002</v>
      </c>
      <c r="E26" s="247">
        <f>SUM(E$148,E$157,E$166,E$168,E$173,$D$175:E$175,E$183)</f>
        <v>200.835</v>
      </c>
      <c r="F26" s="224">
        <f>SUM(F$148,F$157,F$166,F$168,F$173,$D$175:F$175,F$183)</f>
        <v>208.619</v>
      </c>
      <c r="G26" s="224">
        <f>SUM(G$148,G$157,G$166,G$168,G$173,$D$175:G$175,G$183)</f>
        <v>215.056</v>
      </c>
      <c r="H26" s="224">
        <f>SUM(H$148,H$157,H$166,H$168,H$173,$D$175:H$175,H$183)</f>
        <v>226.91099999999997</v>
      </c>
      <c r="I26" s="224">
        <f>SUM(I$148,I$157,I$166,I$168,I$173,$D$175:I$175,I$183)</f>
        <v>233.195</v>
      </c>
      <c r="J26" s="224">
        <f>SUM(J$148,J$157,J$166,J$168,J$173,$D$175:J$175,J$183)</f>
        <v>240.98200000000003</v>
      </c>
      <c r="K26" s="303">
        <f>SUM(K$148,K$157,K$166,K$168,K$173,$D$175:K$175,K$183)</f>
        <v>250.28153657486743</v>
      </c>
      <c r="L26" s="303">
        <f>SUM(L$148,L$157,L$166,L$168,L$173,$D$175:L$175,L$183)</f>
        <v>260.5598063439585</v>
      </c>
      <c r="M26" s="303">
        <f>SUM(M$148,M$157,M$166,M$168,M$173,$D$175:M$175,M$183)</f>
        <v>271.4886312242511</v>
      </c>
      <c r="N26" s="303">
        <f>SUM(N$148,N$157,N$166,N$168,N$173,$D$175:N$175,N$183)</f>
        <v>283.16991259805394</v>
      </c>
      <c r="O26" s="303">
        <f>SUM(O$148,O$157,O$166,O$168,O$173,$D$175:O$175,O$183)</f>
        <v>295.5074603812887</v>
      </c>
      <c r="P26" s="303">
        <f>SUM(P$148,P$157,P$166,P$168,P$173,$D$175:P$175,P$183)</f>
        <v>308.51132131985105</v>
      </c>
      <c r="Q26" s="303">
        <f>SUM(Q$148,Q$157,Q$166,Q$168,Q$173,$D$175:Q$175,Q$183)</f>
        <v>322.19629960438994</v>
      </c>
      <c r="R26" s="303">
        <f>SUM(R$148,R$157,R$166,R$168,R$173,$D$175:R$175,R$183)</f>
        <v>336.50097846063534</v>
      </c>
      <c r="S26" s="303">
        <f>SUM(S$148,S$157,S$166,S$168,S$173,$D$175:S$175,S$183)</f>
        <v>351.4436362534071</v>
      </c>
      <c r="T26" s="303">
        <f>SUM(T$148,T$157,T$166,T$168,T$173,$D$175:T$175,T$183)</f>
        <v>366.9705858148631</v>
      </c>
      <c r="U26" s="303"/>
    </row>
    <row r="27" spans="1:21" s="304" customFormat="1" ht="12.75">
      <c r="A27" s="302" t="s">
        <v>569</v>
      </c>
      <c r="B27" s="386"/>
      <c r="D27" s="247">
        <f aca="true" t="shared" si="11" ref="D27:T27">SUM(D$199,D$196)</f>
        <v>41.897999999999996</v>
      </c>
      <c r="E27" s="247">
        <f t="shared" si="11"/>
        <v>46.11</v>
      </c>
      <c r="F27" s="224">
        <f t="shared" si="11"/>
        <v>48.618</v>
      </c>
      <c r="G27" s="224">
        <f t="shared" si="11"/>
        <v>52.672</v>
      </c>
      <c r="H27" s="224">
        <f t="shared" si="11"/>
        <v>64.196</v>
      </c>
      <c r="I27" s="224">
        <f t="shared" si="11"/>
        <v>69.684</v>
      </c>
      <c r="J27" s="224">
        <f t="shared" si="11"/>
        <v>76.365</v>
      </c>
      <c r="K27" s="303">
        <f t="shared" si="11"/>
        <v>83.2166107488864</v>
      </c>
      <c r="L27" s="303">
        <f t="shared" si="11"/>
        <v>90.09716431913046</v>
      </c>
      <c r="M27" s="303">
        <f t="shared" si="11"/>
        <v>96.63686466912333</v>
      </c>
      <c r="N27" s="303">
        <f t="shared" si="11"/>
        <v>102.64944290855833</v>
      </c>
      <c r="O27" s="303">
        <f t="shared" si="11"/>
        <v>107.93600493330669</v>
      </c>
      <c r="P27" s="303">
        <f t="shared" si="11"/>
        <v>112.39834847587736</v>
      </c>
      <c r="Q27" s="303">
        <f t="shared" si="11"/>
        <v>115.85852494312316</v>
      </c>
      <c r="R27" s="303">
        <f t="shared" si="11"/>
        <v>118.80114886678643</v>
      </c>
      <c r="S27" s="303">
        <f t="shared" si="11"/>
        <v>121.17512590025603</v>
      </c>
      <c r="T27" s="303">
        <f t="shared" si="11"/>
        <v>122.8965346209601</v>
      </c>
      <c r="U27" s="303"/>
    </row>
    <row r="28" spans="1:21" s="304" customFormat="1" ht="12.75">
      <c r="A28" s="302" t="s">
        <v>637</v>
      </c>
      <c r="B28" s="386"/>
      <c r="D28" s="247">
        <f>D$194</f>
        <v>41.623999999999995</v>
      </c>
      <c r="E28" s="247">
        <f>E$194</f>
        <v>49.211</v>
      </c>
      <c r="F28" s="224">
        <f aca="true" t="shared" si="12" ref="F28:T28">F$194</f>
        <v>52.232</v>
      </c>
      <c r="G28" s="224">
        <f t="shared" si="12"/>
        <v>54.235</v>
      </c>
      <c r="H28" s="224">
        <f t="shared" si="12"/>
        <v>54.635000000000005</v>
      </c>
      <c r="I28" s="224">
        <f t="shared" si="12"/>
        <v>55.82000000000001</v>
      </c>
      <c r="J28" s="224">
        <f t="shared" si="12"/>
        <v>57.303</v>
      </c>
      <c r="K28" s="303">
        <f t="shared" si="12"/>
        <v>59.264871064758026</v>
      </c>
      <c r="L28" s="303">
        <f t="shared" si="12"/>
        <v>61.44908026965571</v>
      </c>
      <c r="M28" s="303">
        <f t="shared" si="12"/>
        <v>63.74373118948908</v>
      </c>
      <c r="N28" s="303">
        <f t="shared" si="12"/>
        <v>66.1476464357049</v>
      </c>
      <c r="O28" s="303">
        <f t="shared" si="12"/>
        <v>68.68073110601057</v>
      </c>
      <c r="P28" s="303">
        <f t="shared" si="12"/>
        <v>71.3453271646422</v>
      </c>
      <c r="Q28" s="303">
        <f t="shared" si="12"/>
        <v>74.1584927982164</v>
      </c>
      <c r="R28" s="303">
        <f t="shared" si="12"/>
        <v>77.11884796965</v>
      </c>
      <c r="S28" s="303">
        <f t="shared" si="12"/>
        <v>80.2462141387222</v>
      </c>
      <c r="T28" s="303">
        <f t="shared" si="12"/>
        <v>83.5477939599729</v>
      </c>
      <c r="U28" s="303"/>
    </row>
    <row r="29" spans="1:21" s="304" customFormat="1" ht="12.75">
      <c r="A29" s="302" t="s">
        <v>570</v>
      </c>
      <c r="B29" s="386"/>
      <c r="D29" s="247">
        <f aca="true" t="shared" si="13" ref="D29:T29">D$26-SUM(D$27,D$28)</f>
        <v>96.82700000000003</v>
      </c>
      <c r="E29" s="247">
        <f t="shared" si="13"/>
        <v>105.51400000000001</v>
      </c>
      <c r="F29" s="224">
        <f t="shared" si="13"/>
        <v>107.769</v>
      </c>
      <c r="G29" s="224">
        <f t="shared" si="13"/>
        <v>108.14900000000002</v>
      </c>
      <c r="H29" s="224">
        <f t="shared" si="13"/>
        <v>108.07999999999997</v>
      </c>
      <c r="I29" s="224">
        <f t="shared" si="13"/>
        <v>107.69099999999999</v>
      </c>
      <c r="J29" s="224">
        <f t="shared" si="13"/>
        <v>107.31400000000002</v>
      </c>
      <c r="K29" s="303">
        <f t="shared" si="13"/>
        <v>107.80005476122301</v>
      </c>
      <c r="L29" s="303">
        <f t="shared" si="13"/>
        <v>109.0135617551723</v>
      </c>
      <c r="M29" s="303">
        <f t="shared" si="13"/>
        <v>111.10803536563867</v>
      </c>
      <c r="N29" s="303">
        <f t="shared" si="13"/>
        <v>114.37282325379073</v>
      </c>
      <c r="O29" s="303">
        <f t="shared" si="13"/>
        <v>118.89072434197143</v>
      </c>
      <c r="P29" s="303">
        <f t="shared" si="13"/>
        <v>124.76764567933151</v>
      </c>
      <c r="Q29" s="303">
        <f t="shared" si="13"/>
        <v>132.1792818630504</v>
      </c>
      <c r="R29" s="303">
        <f t="shared" si="13"/>
        <v>140.5809816241989</v>
      </c>
      <c r="S29" s="303">
        <f t="shared" si="13"/>
        <v>150.02229621442885</v>
      </c>
      <c r="T29" s="303">
        <f t="shared" si="13"/>
        <v>160.5262572339301</v>
      </c>
      <c r="U29" s="303"/>
    </row>
    <row r="30" spans="1:21" s="304" customFormat="1" ht="12.75">
      <c r="A30" s="302" t="s">
        <v>668</v>
      </c>
      <c r="B30" s="386"/>
      <c r="D30" s="247">
        <f aca="true" t="shared" si="14" ref="D30:T30">D$203</f>
        <v>36.805</v>
      </c>
      <c r="E30" s="247">
        <f t="shared" si="14"/>
        <v>37.745</v>
      </c>
      <c r="F30" s="224">
        <f t="shared" si="14"/>
        <v>38.442</v>
      </c>
      <c r="G30" s="224">
        <f t="shared" si="14"/>
        <v>40.754999999999995</v>
      </c>
      <c r="H30" s="224">
        <f t="shared" si="14"/>
        <v>50.176</v>
      </c>
      <c r="I30" s="224">
        <f t="shared" si="14"/>
        <v>54.980999999999995</v>
      </c>
      <c r="J30" s="224">
        <f t="shared" si="14"/>
        <v>60.021</v>
      </c>
      <c r="K30" s="303">
        <f t="shared" si="14"/>
        <v>66.57713980907914</v>
      </c>
      <c r="L30" s="303">
        <f t="shared" si="14"/>
        <v>72.92537348378741</v>
      </c>
      <c r="M30" s="303">
        <f t="shared" si="14"/>
        <v>78.83519803698212</v>
      </c>
      <c r="N30" s="303">
        <f t="shared" si="14"/>
        <v>84.10559229975401</v>
      </c>
      <c r="O30" s="303">
        <f>O$203</f>
        <v>88.65075500977633</v>
      </c>
      <c r="P30" s="303">
        <f t="shared" si="14"/>
        <v>92.37272080299815</v>
      </c>
      <c r="Q30" s="303">
        <f t="shared" si="14"/>
        <v>95.09170544158724</v>
      </c>
      <c r="R30" s="303">
        <f t="shared" si="14"/>
        <v>97.29138955641821</v>
      </c>
      <c r="S30" s="303">
        <f t="shared" si="14"/>
        <v>98.9080182501216</v>
      </c>
      <c r="T30" s="303">
        <f t="shared" si="14"/>
        <v>99.89466932951083</v>
      </c>
      <c r="U30" s="303"/>
    </row>
    <row r="31" spans="1:21" s="304" customFormat="1" ht="12.75">
      <c r="A31" s="302" t="s">
        <v>183</v>
      </c>
      <c r="B31" s="386"/>
      <c r="D31" s="247">
        <f aca="true" t="shared" si="15" ref="D31:T31">D$203-D$205</f>
        <v>30.692999999999998</v>
      </c>
      <c r="E31" s="247">
        <f t="shared" si="15"/>
        <v>31.389999999999997</v>
      </c>
      <c r="F31" s="224">
        <f t="shared" si="15"/>
        <v>32.087</v>
      </c>
      <c r="G31" s="224">
        <f t="shared" si="15"/>
        <v>34.39999999999999</v>
      </c>
      <c r="H31" s="224">
        <f t="shared" si="15"/>
        <v>43.821</v>
      </c>
      <c r="I31" s="224">
        <f t="shared" si="15"/>
        <v>48.62599999999999</v>
      </c>
      <c r="J31" s="224">
        <f t="shared" si="15"/>
        <v>53.666</v>
      </c>
      <c r="K31" s="303">
        <f t="shared" si="15"/>
        <v>60.22213980907914</v>
      </c>
      <c r="L31" s="303">
        <f t="shared" si="15"/>
        <v>66.5703734837874</v>
      </c>
      <c r="M31" s="303">
        <f t="shared" si="15"/>
        <v>72.48019803698212</v>
      </c>
      <c r="N31" s="303">
        <f t="shared" si="15"/>
        <v>77.750592299754</v>
      </c>
      <c r="O31" s="303">
        <f>O$203-O$205</f>
        <v>82.29575500977633</v>
      </c>
      <c r="P31" s="303">
        <f t="shared" si="15"/>
        <v>86.01772080299814</v>
      </c>
      <c r="Q31" s="303">
        <f t="shared" si="15"/>
        <v>88.73670544158723</v>
      </c>
      <c r="R31" s="303">
        <f t="shared" si="15"/>
        <v>90.9363895564182</v>
      </c>
      <c r="S31" s="303">
        <f t="shared" si="15"/>
        <v>92.5530182501216</v>
      </c>
      <c r="T31" s="303">
        <f t="shared" si="15"/>
        <v>93.53966932951083</v>
      </c>
      <c r="U31" s="303"/>
    </row>
    <row r="32" spans="1:21" s="304" customFormat="1" ht="12.75">
      <c r="A32" s="382" t="s">
        <v>617</v>
      </c>
      <c r="B32" s="386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</row>
    <row r="33" spans="1:21" s="304" customFormat="1" ht="12.75">
      <c r="A33" s="302" t="s">
        <v>478</v>
      </c>
      <c r="B33" s="386"/>
      <c r="D33" s="247">
        <f>SUM(D$144,D$157,D$163,D$167,D$171,$D$175:D$175,D$182)</f>
        <v>105.213</v>
      </c>
      <c r="E33" s="247">
        <f>SUM(E$144,E$157,E$163,E$167,E$171,$D$175:E$175,E$182)</f>
        <v>116.34006</v>
      </c>
      <c r="F33" s="224">
        <f>SUM(F$144,F$157,F$163,F$167,F$171,$D$175:F$175,F$182)</f>
        <v>117.466</v>
      </c>
      <c r="G33" s="224">
        <f>SUM(G$144,G$157,G$163,G$167,G$171,$D$175:G$175,G$182)</f>
        <v>119.179</v>
      </c>
      <c r="H33" s="224">
        <f>SUM(H$144,H$157,H$163,H$167,H$171,$D$175:H$175,H$182)</f>
        <v>126.93199999999999</v>
      </c>
      <c r="I33" s="224">
        <f>SUM(I$144,I$157,I$163,I$167,I$171,$D$175:I$175,I$182)</f>
        <v>129.88400000000001</v>
      </c>
      <c r="J33" s="224">
        <f>SUM(J$144,J$157,J$163,J$167,J$171,$D$175:J$175,J$182)</f>
        <v>133.38600000000002</v>
      </c>
      <c r="K33" s="303">
        <f>SUM(K$144,K$157,K$163,K$167,K$171,$D$175:K$175,K$182)</f>
        <v>139.28142838987526</v>
      </c>
      <c r="L33" s="303">
        <f>SUM(L$144,L$157,L$163,L$167,L$171,$D$175:L$175,L$182)</f>
        <v>145.33930317800844</v>
      </c>
      <c r="M33" s="303">
        <f>SUM(M$144,M$157,M$163,M$167,M$171,$D$175:M$175,M$182)</f>
        <v>151.64659346870633</v>
      </c>
      <c r="N33" s="303">
        <f>SUM(N$144,N$157,N$163,N$167,N$171,$D$175:N$175,N$182)</f>
        <v>158.2581683728339</v>
      </c>
      <c r="O33" s="303">
        <f>SUM(O$144,O$157,O$163,O$167,O$171,$D$175:O$175,O$182)</f>
        <v>165.18390710679137</v>
      </c>
      <c r="P33" s="303">
        <f>SUM(P$144,P$157,P$163,P$167,P$171,$D$175:P$175,P$182)</f>
        <v>172.4192021813207</v>
      </c>
      <c r="Q33" s="303">
        <f>SUM(Q$144,Q$157,Q$163,Q$167,Q$171,$D$175:Q$175,Q$182)</f>
        <v>179.95882268772263</v>
      </c>
      <c r="R33" s="303">
        <f>SUM(R$144,R$157,R$163,R$167,R$171,$D$175:R$175,R$182)</f>
        <v>187.72561687152245</v>
      </c>
      <c r="S33" s="303">
        <f>SUM(S$144,S$157,S$163,S$167,S$171,$D$175:S$175,S$182)</f>
        <v>195.70581645749124</v>
      </c>
      <c r="T33" s="303">
        <f>SUM(T$144,T$157,T$163,T$167,T$171,$D$175:T$175,T$182)</f>
        <v>203.86942749904622</v>
      </c>
      <c r="U33" s="303"/>
    </row>
    <row r="34" spans="1:20" ht="12.75">
      <c r="A34" s="50" t="s">
        <v>569</v>
      </c>
      <c r="B34" s="143"/>
      <c r="C34"/>
      <c r="D34" s="99">
        <f aca="true" t="shared" si="16" ref="D34:T34">D$201</f>
        <v>35.892</v>
      </c>
      <c r="E34" s="99">
        <f t="shared" si="16"/>
        <v>37.336</v>
      </c>
      <c r="F34" s="170">
        <f t="shared" si="16"/>
        <v>37.793</v>
      </c>
      <c r="G34" s="170">
        <f t="shared" si="16"/>
        <v>39.998</v>
      </c>
      <c r="H34" s="170">
        <f t="shared" si="16"/>
        <v>49.295</v>
      </c>
      <c r="I34" s="170">
        <f t="shared" si="16"/>
        <v>53.949</v>
      </c>
      <c r="J34" s="170">
        <f t="shared" si="16"/>
        <v>58.814</v>
      </c>
      <c r="K34" s="104">
        <f t="shared" si="16"/>
        <v>65.53756596798623</v>
      </c>
      <c r="L34" s="104">
        <f t="shared" si="16"/>
        <v>71.75768961874682</v>
      </c>
      <c r="M34" s="104">
        <f t="shared" si="16"/>
        <v>77.53228973080812</v>
      </c>
      <c r="N34" s="104">
        <f>N$201</f>
        <v>82.658639192417</v>
      </c>
      <c r="O34" s="104">
        <f t="shared" si="16"/>
        <v>87.05066433866581</v>
      </c>
      <c r="P34" s="104">
        <f t="shared" si="16"/>
        <v>90.6106277068604</v>
      </c>
      <c r="Q34" s="104">
        <f t="shared" si="16"/>
        <v>93.15885873998765</v>
      </c>
      <c r="R34" s="104">
        <f t="shared" si="16"/>
        <v>95.18139884654973</v>
      </c>
      <c r="S34" s="104">
        <f t="shared" si="16"/>
        <v>96.6148718813395</v>
      </c>
      <c r="T34" s="104">
        <f t="shared" si="16"/>
        <v>97.41324832599135</v>
      </c>
    </row>
    <row r="35" spans="1:20" ht="12.75">
      <c r="A35" s="50" t="s">
        <v>637</v>
      </c>
      <c r="B35" s="143"/>
      <c r="C35"/>
      <c r="D35" s="99">
        <f aca="true" t="shared" si="17" ref="D35:T35">D$191</f>
        <v>18.538</v>
      </c>
      <c r="E35" s="99">
        <f t="shared" si="17"/>
        <v>21.863</v>
      </c>
      <c r="F35" s="170">
        <f t="shared" si="17"/>
        <v>22.406000000000002</v>
      </c>
      <c r="G35" s="170">
        <f t="shared" si="17"/>
        <v>23.235</v>
      </c>
      <c r="H35" s="170">
        <f t="shared" si="17"/>
        <v>23.261000000000003</v>
      </c>
      <c r="I35" s="170">
        <f t="shared" si="17"/>
        <v>23.24</v>
      </c>
      <c r="J35" s="170">
        <f t="shared" si="17"/>
        <v>23.432000000000002</v>
      </c>
      <c r="K35" s="104">
        <f t="shared" si="17"/>
        <v>23.519187145401034</v>
      </c>
      <c r="L35" s="104">
        <f t="shared" si="17"/>
        <v>23.72912327480625</v>
      </c>
      <c r="M35" s="104">
        <f t="shared" si="17"/>
        <v>23.9329973834108</v>
      </c>
      <c r="N35" s="104">
        <f t="shared" si="17"/>
        <v>24.1212077744471</v>
      </c>
      <c r="O35" s="104">
        <f t="shared" si="17"/>
        <v>24.305992020094752</v>
      </c>
      <c r="P35" s="104">
        <f t="shared" si="17"/>
        <v>24.481549738338813</v>
      </c>
      <c r="Q35" s="104">
        <f t="shared" si="17"/>
        <v>24.656292459409435</v>
      </c>
      <c r="R35" s="104">
        <f t="shared" si="17"/>
        <v>24.819657857089346</v>
      </c>
      <c r="S35" s="104">
        <f t="shared" si="17"/>
        <v>24.981716199468337</v>
      </c>
      <c r="T35" s="104">
        <f t="shared" si="17"/>
        <v>25.139314708755222</v>
      </c>
    </row>
    <row r="36" spans="1:20" ht="12.75">
      <c r="A36" s="50" t="s">
        <v>570</v>
      </c>
      <c r="B36" s="143"/>
      <c r="C36"/>
      <c r="D36" s="99">
        <f aca="true" t="shared" si="18" ref="D36:T36">D$33-SUM(D$34,D$35)</f>
        <v>50.78299999999999</v>
      </c>
      <c r="E36" s="99">
        <f t="shared" si="18"/>
        <v>57.141059999999996</v>
      </c>
      <c r="F36" s="173">
        <f t="shared" si="18"/>
        <v>57.266999999999996</v>
      </c>
      <c r="G36" s="173">
        <f t="shared" si="18"/>
        <v>55.946000000000005</v>
      </c>
      <c r="H36" s="173">
        <f t="shared" si="18"/>
        <v>54.375999999999976</v>
      </c>
      <c r="I36" s="173">
        <f t="shared" si="18"/>
        <v>52.69500000000002</v>
      </c>
      <c r="J36" s="173">
        <f t="shared" si="18"/>
        <v>51.140000000000015</v>
      </c>
      <c r="K36" s="104">
        <f t="shared" si="18"/>
        <v>50.224675276488</v>
      </c>
      <c r="L36" s="104">
        <f t="shared" si="18"/>
        <v>49.85249028445537</v>
      </c>
      <c r="M36" s="104">
        <f t="shared" si="18"/>
        <v>50.18130635448742</v>
      </c>
      <c r="N36" s="104">
        <f t="shared" si="18"/>
        <v>51.478321405969794</v>
      </c>
      <c r="O36" s="104">
        <f t="shared" si="18"/>
        <v>53.82725074803081</v>
      </c>
      <c r="P36" s="104">
        <f t="shared" si="18"/>
        <v>57.3270247361215</v>
      </c>
      <c r="Q36" s="104">
        <f t="shared" si="18"/>
        <v>62.14367148832554</v>
      </c>
      <c r="R36" s="104">
        <f t="shared" si="18"/>
        <v>67.72456016788337</v>
      </c>
      <c r="S36" s="104">
        <f t="shared" si="18"/>
        <v>74.1092283766834</v>
      </c>
      <c r="T36" s="104">
        <f t="shared" si="18"/>
        <v>81.31686446429966</v>
      </c>
    </row>
    <row r="37" spans="1:20" ht="12.75">
      <c r="A37" s="50" t="s">
        <v>801</v>
      </c>
      <c r="B37" s="143"/>
      <c r="C37"/>
      <c r="D37" s="99">
        <f>Data!C$99</f>
        <v>4.109000000000002</v>
      </c>
      <c r="E37" s="99">
        <f>Data!D$99</f>
        <v>-0.019</v>
      </c>
      <c r="F37" s="173">
        <f>Data!E$99+IF($I$1="Yes",F$276-E$276,0)+IF($F$1="Yes",F$284,0)</f>
        <v>5.207000000000001</v>
      </c>
      <c r="G37" s="173">
        <f>Data!F$99+IF($I$1="Yes",G$276-F$276,0)+IF($F$1="Yes",G$284,0)</f>
        <v>10.090999999999998</v>
      </c>
      <c r="H37" s="173">
        <f>Data!G$99+IF($I$1="Yes",H$276-G$276,0)+IF($F$1="Yes",H$284,0)</f>
        <v>16.071</v>
      </c>
      <c r="I37" s="173">
        <f>Data!H$99+IF($I$1="Yes",I$276-H$276,0)+IF($F$1="Yes",I$284,0)</f>
        <v>22.351999999999993</v>
      </c>
      <c r="J37" s="173">
        <f>Data!I$99+IF($I$1="Yes",J$276-I$276,0)+IF($F$1="Yes",J$284,0)</f>
        <v>29.041999999999998</v>
      </c>
      <c r="K37" s="104">
        <f aca="true" t="shared" si="19" ref="K37:T37">J$37+(K$30-J$30)-SUM(K$141-J$141,K$157-J$157,K$163-J$163)</f>
        <v>35.02571018796672</v>
      </c>
      <c r="L37" s="104">
        <f t="shared" si="19"/>
        <v>40.81669436249518</v>
      </c>
      <c r="M37" s="104">
        <f t="shared" si="19"/>
        <v>46.17276559955232</v>
      </c>
      <c r="N37" s="104">
        <f t="shared" si="19"/>
        <v>50.89566185622316</v>
      </c>
      <c r="O37" s="104">
        <f t="shared" si="19"/>
        <v>54.89900252638491</v>
      </c>
      <c r="P37" s="104">
        <f t="shared" si="19"/>
        <v>58.08251442389603</v>
      </c>
      <c r="Q37" s="104">
        <f t="shared" si="19"/>
        <v>60.268442258194725</v>
      </c>
      <c r="R37" s="104">
        <f t="shared" si="19"/>
        <v>61.94155506212439</v>
      </c>
      <c r="S37" s="104">
        <f t="shared" si="19"/>
        <v>63.040087443617374</v>
      </c>
      <c r="T37" s="104">
        <f t="shared" si="19"/>
        <v>63.51867630704538</v>
      </c>
    </row>
    <row r="38" spans="1:20" ht="12.75">
      <c r="A38" s="50" t="s">
        <v>802</v>
      </c>
      <c r="B38" s="100"/>
      <c r="C38"/>
      <c r="D38" s="99">
        <f aca="true" t="shared" si="20" ref="D38:T38">D$37-D$117</f>
        <v>-8.863999999999999</v>
      </c>
      <c r="E38" s="99">
        <f t="shared" si="20"/>
        <v>-14.231000000000002</v>
      </c>
      <c r="F38" s="170">
        <f t="shared" si="20"/>
        <v>-12.233</v>
      </c>
      <c r="G38" s="170">
        <f t="shared" si="20"/>
        <v>-10.545000000000002</v>
      </c>
      <c r="H38" s="170">
        <f t="shared" si="20"/>
        <v>-8.101999999999997</v>
      </c>
      <c r="I38" s="170">
        <f t="shared" si="20"/>
        <v>-5.670999999999999</v>
      </c>
      <c r="J38" s="170">
        <f t="shared" si="20"/>
        <v>-3.1139999999999937</v>
      </c>
      <c r="K38" s="104">
        <f t="shared" si="20"/>
        <v>-1.43870783296763</v>
      </c>
      <c r="L38" s="104">
        <f t="shared" si="20"/>
        <v>-0.14135102885160933</v>
      </c>
      <c r="M38" s="104">
        <f t="shared" si="20"/>
        <v>0.47154530977564235</v>
      </c>
      <c r="N38" s="104">
        <f t="shared" si="20"/>
        <v>0.14188095388976052</v>
      </c>
      <c r="O38" s="104">
        <f t="shared" si="20"/>
        <v>-1.2262795809752518</v>
      </c>
      <c r="P38" s="104">
        <f t="shared" si="20"/>
        <v>-3.725215541508426</v>
      </c>
      <c r="Q38" s="104">
        <f t="shared" si="20"/>
        <v>-7.528694714216115</v>
      </c>
      <c r="R38" s="104">
        <f t="shared" si="20"/>
        <v>-12.069140689939509</v>
      </c>
      <c r="S38" s="104">
        <f t="shared" si="20"/>
        <v>-17.395033631138993</v>
      </c>
      <c r="T38" s="104">
        <f t="shared" si="20"/>
        <v>-23.520424891513514</v>
      </c>
    </row>
    <row r="39" spans="1:9" ht="13.5">
      <c r="A39" s="225" t="s">
        <v>479</v>
      </c>
      <c r="B39" s="64"/>
      <c r="C39"/>
      <c r="D39" s="99"/>
      <c r="E39" s="99"/>
      <c r="F39" s="104"/>
      <c r="G39" s="104"/>
      <c r="H39" s="104"/>
      <c r="I39" s="104"/>
    </row>
    <row r="40" spans="1:10" ht="12.75">
      <c r="A40" s="50" t="s">
        <v>908</v>
      </c>
      <c r="B40" s="101"/>
      <c r="C40"/>
      <c r="D40" s="245" t="str">
        <f>IF(ROUND(Data!C$33-D$13,3)=0,"OK","ERROR")</f>
        <v>OK</v>
      </c>
      <c r="E40" s="245" t="str">
        <f>IF(ROUND(Data!D$33-E$13,3)=0,"OK","ERROR")</f>
        <v>OK</v>
      </c>
      <c r="F40" s="226" t="str">
        <f>IF(ROUND(Data!E$33-F$13+IF($I$1="Yes",F$269,0)+IF($F$1="Yes",F$282,0),3)=0,"OK","ERROR")</f>
        <v>OK</v>
      </c>
      <c r="G40" s="226" t="str">
        <f>IF(ROUND(Data!F$33-G$13+IF($I$1="Yes",G$269,0)+IF($F$1="Yes",G$282,0),3)=0,"OK","ERROR")</f>
        <v>OK</v>
      </c>
      <c r="H40" s="226" t="str">
        <f>IF(ROUND(Data!G$33-H$13+IF($I$1="Yes",H$269,0)+IF($F$1="Yes",H$282,0),3)=0,"OK","ERROR")</f>
        <v>OK</v>
      </c>
      <c r="I40" s="226" t="str">
        <f>IF(ROUND(Data!H$33-I$13+IF($I$1="Yes",I$269,0)+IF($F$1="Yes",I$282,0),3)=0,"OK","ERROR")</f>
        <v>OK</v>
      </c>
      <c r="J40" s="226" t="str">
        <f>IF(ROUND(Data!I$33-J$13+IF($I$1="Yes",J$269,0)+IF($F$1="Yes",J$282,0),3)=0,"OK","ERROR")</f>
        <v>OK</v>
      </c>
    </row>
    <row r="41" spans="1:21" ht="12.75">
      <c r="A41" s="50" t="s">
        <v>480</v>
      </c>
      <c r="B41" s="121"/>
      <c r="C41"/>
      <c r="D41" s="245" t="str">
        <f>IF(ROUND(Data!C$114-D$23,3)=0,"OK","ERROR")</f>
        <v>OK</v>
      </c>
      <c r="E41" s="245" t="str">
        <f>IF(ROUND(Data!D$114-E$23,3)=0,"OK","ERROR")</f>
        <v>OK</v>
      </c>
      <c r="F41" s="226" t="str">
        <f>IF(ROUND(Data!E$114-F$23+IF($I$1="Yes",F$269,0)+IF($F$1="Yes",F$282,0),3)=0,"OK","ERROR")</f>
        <v>OK</v>
      </c>
      <c r="G41" s="226" t="str">
        <f>IF(ROUND(Data!F$114-G$23+IF($I$1="Yes",G$269,0)+IF($F$1="Yes",G$282,0),3)=0,"OK","ERROR")</f>
        <v>OK</v>
      </c>
      <c r="H41" s="226" t="str">
        <f>IF(ROUND(Data!G$114-H$23+IF($I$1="Yes",H$269,0)+IF($F$1="Yes",H$282,0),3)=0,"OK","ERROR")</f>
        <v>OK</v>
      </c>
      <c r="I41" s="226" t="str">
        <f>IF(ROUND(Data!H$114-I$23+IF($I$1="Yes",I$269,0)+IF($F$1="Yes",I$282,0),3)=0,"OK","ERROR")</f>
        <v>OK</v>
      </c>
      <c r="J41" s="226" t="str">
        <f>IF(ROUND(Data!I$114-J$23+IF($I$1="Yes",J$269,0)+IF($F$1="Yes",J$282,0),3)=0,"OK","ERROR")</f>
        <v>OK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</row>
    <row r="42" spans="1:21" ht="12.75">
      <c r="A42" s="50" t="s">
        <v>481</v>
      </c>
      <c r="B42" s="121"/>
      <c r="C42"/>
      <c r="D42" s="245" t="str">
        <f>IF(ROUND(Data!C$83-D$29,3)=0,"OK","ERROR")</f>
        <v>OK</v>
      </c>
      <c r="E42" s="245" t="str">
        <f>IF(ROUND(Data!D$83-E$29,3)=0,"OK","ERROR")</f>
        <v>OK</v>
      </c>
      <c r="F42" s="226" t="str">
        <f>IF(ROUND(Data!E$83-F$29+IF($I$1="Yes",F$277,0)-IF($F$1="Yes",F$284,0),3)=0,"OK","ERROR")</f>
        <v>OK</v>
      </c>
      <c r="G42" s="226" t="str">
        <f>IF(ROUND(Data!F$83-G$29+IF($I$1="Yes",G$277,0)-IF($F$1="Yes",G$284,0),3)=0,"OK","ERROR")</f>
        <v>OK</v>
      </c>
      <c r="H42" s="226" t="str">
        <f>IF(ROUND(Data!G$83-H$29+IF($I$1="Yes",H$277,0)-IF($F$1="Yes",H$284,0),3)=0,"OK","ERROR")</f>
        <v>OK</v>
      </c>
      <c r="I42" s="226" t="str">
        <f>IF(ROUND(Data!H$83-I$29+IF($I$1="Yes",I$277,0)-IF($F$1="Yes",I$284,0),3)=0,"OK","ERROR")</f>
        <v>OK</v>
      </c>
      <c r="J42" s="226" t="str">
        <f>IF(ROUND(Data!I$83-J$29+IF($I$1="Yes",J$277,0)-IF($F$1="Yes",J$284,0),3)=0,"OK","ERROR")</f>
        <v>OK</v>
      </c>
      <c r="K42" s="228" t="str">
        <f aca="true" t="shared" si="21" ref="K42:S42">IF(ROUND(K$29-J$29-K$16,3)=0,"OK","ERROR")</f>
        <v>OK</v>
      </c>
      <c r="L42" s="228" t="str">
        <f t="shared" si="21"/>
        <v>OK</v>
      </c>
      <c r="M42" s="228" t="str">
        <f t="shared" si="21"/>
        <v>OK</v>
      </c>
      <c r="N42" s="228" t="str">
        <f t="shared" si="21"/>
        <v>OK</v>
      </c>
      <c r="O42" s="228" t="str">
        <f t="shared" si="21"/>
        <v>OK</v>
      </c>
      <c r="P42" s="228" t="str">
        <f t="shared" si="21"/>
        <v>OK</v>
      </c>
      <c r="Q42" s="228" t="str">
        <f t="shared" si="21"/>
        <v>OK</v>
      </c>
      <c r="R42" s="228" t="str">
        <f t="shared" si="21"/>
        <v>OK</v>
      </c>
      <c r="S42" s="228" t="str">
        <f t="shared" si="21"/>
        <v>OK</v>
      </c>
      <c r="T42" s="228" t="str">
        <f>IF(ROUND(T$29-S$29-T$16,3)=0,"OK","ERROR")</f>
        <v>OK</v>
      </c>
      <c r="U42" s="228"/>
    </row>
    <row r="43" spans="1:21" ht="12.75">
      <c r="A43" s="50" t="s">
        <v>484</v>
      </c>
      <c r="B43" s="121"/>
      <c r="C43"/>
      <c r="D43" s="245" t="str">
        <f>IF(ROUND(Data!C$129-D$36,3)=0,"OK","ERROR")</f>
        <v>OK</v>
      </c>
      <c r="E43" s="245" t="str">
        <f>IF(ROUND(Data!D$129-E$36,3)=0,"OK","ERROR")</f>
        <v>OK</v>
      </c>
      <c r="F43" s="226" t="str">
        <f>IF(ROUND(Data!E$129-F$36+IF($I$1="Yes",F$277,0)-IF($F$1="Yes",F$284,0),3)=0,"OK","ERROR")</f>
        <v>OK</v>
      </c>
      <c r="G43" s="226" t="str">
        <f>IF(ROUND(Data!F$129-G$36+IF($I$1="Yes",G$277,0)-IF($F$1="Yes",G$284,0),3)=0,"OK","ERROR")</f>
        <v>OK</v>
      </c>
      <c r="H43" s="226" t="str">
        <f>IF(ROUND(Data!G$129-H$36+IF($I$1="Yes",H$277,0)-IF($F$1="Yes",H$284,0),3)=0,"OK","ERROR")</f>
        <v>OK</v>
      </c>
      <c r="I43" s="226" t="str">
        <f>IF(ROUND(Data!H$129-I$36+IF($I$1="Yes",I$277,0)-IF($F$1="Yes",I$284,0),3)=0,"OK","ERROR")</f>
        <v>OK</v>
      </c>
      <c r="J43" s="226" t="str">
        <f>IF(ROUND(Data!I$129-J$36+IF($I$1="Yes",J$277,0)-IF($F$1="Yes",J$284,0),3)=0,"OK","ERROR")</f>
        <v>OK</v>
      </c>
      <c r="K43" s="228" t="str">
        <f aca="true" t="shared" si="22" ref="K43:S43">IF(ROUND(K$36-J$36-K$23,3)=0,"OK","ERROR")</f>
        <v>OK</v>
      </c>
      <c r="L43" s="228" t="str">
        <f t="shared" si="22"/>
        <v>OK</v>
      </c>
      <c r="M43" s="228" t="str">
        <f t="shared" si="22"/>
        <v>OK</v>
      </c>
      <c r="N43" s="228" t="str">
        <f t="shared" si="22"/>
        <v>OK</v>
      </c>
      <c r="O43" s="228" t="str">
        <f t="shared" si="22"/>
        <v>OK</v>
      </c>
      <c r="P43" s="228" t="str">
        <f t="shared" si="22"/>
        <v>OK</v>
      </c>
      <c r="Q43" s="228" t="str">
        <f t="shared" si="22"/>
        <v>OK</v>
      </c>
      <c r="R43" s="228" t="str">
        <f t="shared" si="22"/>
        <v>OK</v>
      </c>
      <c r="S43" s="228" t="str">
        <f t="shared" si="22"/>
        <v>OK</v>
      </c>
      <c r="T43" s="228" t="str">
        <f>IF(ROUND(T$36-S$36-T$23,3)=0,"OK","ERROR")</f>
        <v>OK</v>
      </c>
      <c r="U43" s="228"/>
    </row>
    <row r="44" spans="1:21" ht="12.75">
      <c r="A44" s="46"/>
      <c r="C44" s="101"/>
      <c r="D44" s="101"/>
      <c r="E44" s="458"/>
      <c r="F44" s="170"/>
      <c r="G44" s="170"/>
      <c r="H44" s="170"/>
      <c r="I44" s="170"/>
      <c r="J44" s="170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</row>
    <row r="45" spans="1:21" ht="15.75">
      <c r="A45" s="220" t="s">
        <v>573</v>
      </c>
      <c r="D45" s="166"/>
      <c r="E45" s="460"/>
      <c r="F45" s="174"/>
      <c r="G45" s="174"/>
      <c r="H45" s="174"/>
      <c r="I45" s="174"/>
      <c r="J45" s="174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</row>
    <row r="46" spans="1:21" ht="12.75">
      <c r="A46" s="150" t="s">
        <v>787</v>
      </c>
      <c r="C46"/>
      <c r="D46" s="102"/>
      <c r="E46" s="461"/>
      <c r="F46" s="292"/>
      <c r="G46" s="292"/>
      <c r="H46" s="292"/>
      <c r="I46" s="292"/>
      <c r="J46" s="292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</row>
    <row r="47" spans="1:21" s="304" customFormat="1" ht="12.75">
      <c r="A47" s="344" t="s">
        <v>657</v>
      </c>
      <c r="D47" s="247">
        <f>Data!C$131</f>
        <v>20.98</v>
      </c>
      <c r="E47" s="247">
        <f>Data!D$131</f>
        <v>23.345</v>
      </c>
      <c r="F47" s="224">
        <f ca="1">Data!E$131*(1+IF($F$1="Yes",OFFSET(ReadyReckoner!$A$47,0,F$262),0))+IF($I$1="Yes",F$264,0)</f>
        <v>23.073</v>
      </c>
      <c r="G47" s="224">
        <f ca="1">Data!F$131*(1+IF($F$1="Yes",OFFSET(ReadyReckoner!$A$47,0,G$262),0))+IF($I$1="Yes",G$264,0)</f>
        <v>23.703</v>
      </c>
      <c r="H47" s="224">
        <f ca="1">Data!G$131*(1+IF($F$1="Yes",OFFSET(ReadyReckoner!$A$47,0,H$262),0))+IF($I$1="Yes",H$264,0)</f>
        <v>24.41</v>
      </c>
      <c r="I47" s="224">
        <f ca="1">Data!H$131*(1+IF($F$1="Yes",OFFSET(ReadyReckoner!$A$47,0,I$262),0))+IF($I$1="Yes",I$264,0)</f>
        <v>25.517</v>
      </c>
      <c r="J47" s="224">
        <f ca="1">Data!I$131*(1+IF($F$1="Yes",OFFSET(ReadyReckoner!$A$47,0,J$262),0))+IF($I$1="Yes",J$264,0)</f>
        <v>27.201</v>
      </c>
      <c r="K47" s="303">
        <f ca="1">IF(AND(OR(OFFSET(Scenarios!$A$24,0,$C$1)&lt;&gt;"Yes",MID(OFFSET(Scenarios!$A$26,0,$C$1),6,2)&lt;MID(K$3,4,2)),OFFSET(Scenarios!$A$48,0,$C$1)="Yes"),IF(J$47/J$211&lt;OFFSET(Scenarios!$A$54,0,$C$1),MIN(J$47/J$211+OFFSET(Scenarios!$A$53,0,$C$1),OFFSET(Scenarios!$A$54,0,$C$1)),MAX(J$47/J$211-OFFSET(Scenarios!$A$53,0,$C$1),OFFSET(Scenarios!$A$54,0,$C$1)))*K$211,J$47*(1+K$227)*(1+IF(AND(OFFSET(Scenarios!$A$24,0,$C$1)="YES",MID(OFFSET(Scenarios!$A$26,0,$C$1),6,2)&gt;=MID(K$3,4,2)),IF(OFFSET(Scenarios!$A$29,0,$C$1)="Inflation",1,OFFSET(Scenarios!$A$25,0,$C$1)),1)*K$230)*(1+IF(AND(OFFSET(Scenarios!$A$24,0,$C$1)="YES",MID(OFFSET(Scenarios!$A$26,0,$C$1),6,2)&gt;=MID(K$3,4,2)),IF(OFFSET(Scenarios!$A$29,0,$C$1)="Wage",1,OFFSET(Scenarios!$A$25,0,$C$1)),1)*K$215))</f>
        <v>28.905180325528228</v>
      </c>
      <c r="L47" s="303">
        <f ca="1">IF(AND(OR(OFFSET(Scenarios!$A$24,0,$C$1)&lt;&gt;"Yes",MID(OFFSET(Scenarios!$A$26,0,$C$1),6,2)&lt;MID(L$3,4,2)),OFFSET(Scenarios!$A$48,0,$C$1)="Yes"),IF(K$47/K$211&lt;OFFSET(Scenarios!$A$54,0,$C$1),MIN(K$47/K$211+OFFSET(Scenarios!$A$53,0,$C$1),OFFSET(Scenarios!$A$54,0,$C$1)),MAX(K$47/K$211-OFFSET(Scenarios!$A$53,0,$C$1),OFFSET(Scenarios!$A$54,0,$C$1)))*L$211,K$47*(1+L$227)*(1+IF(AND(OFFSET(Scenarios!$A$24,0,$C$1)="YES",MID(OFFSET(Scenarios!$A$26,0,$C$1),6,2)&gt;=MID(L$3,4,2)),IF(OFFSET(Scenarios!$A$29,0,$C$1)="Inflation",1,OFFSET(Scenarios!$A$25,0,$C$1)),1)*L$230)*(1+IF(AND(OFFSET(Scenarios!$A$24,0,$C$1)="YES",MID(OFFSET(Scenarios!$A$26,0,$C$1),6,2)&gt;=MID(L$3,4,2)),IF(OFFSET(Scenarios!$A$29,0,$C$1)="Wage",1,OFFSET(Scenarios!$A$25,0,$C$1)),1)*L$215))</f>
        <v>30.63828071511262</v>
      </c>
      <c r="M47" s="303">
        <f ca="1">IF(AND(OR(OFFSET(Scenarios!$A$24,0,$C$1)&lt;&gt;"Yes",MID(OFFSET(Scenarios!$A$26,0,$C$1),6,2)&lt;MID(M$3,4,2)),OFFSET(Scenarios!$A$48,0,$C$1)="Yes"),IF(L$47/L$211&lt;OFFSET(Scenarios!$A$54,0,$C$1),MIN(L$47/L$211+OFFSET(Scenarios!$A$53,0,$C$1),OFFSET(Scenarios!$A$54,0,$C$1)),MAX(L$47/L$211-OFFSET(Scenarios!$A$53,0,$C$1),OFFSET(Scenarios!$A$54,0,$C$1)))*M$211,L$47*(1+M$227)*(1+IF(AND(OFFSET(Scenarios!$A$24,0,$C$1)="YES",MID(OFFSET(Scenarios!$A$26,0,$C$1),6,2)&gt;=MID(M$3,4,2)),IF(OFFSET(Scenarios!$A$29,0,$C$1)="Inflation",1,OFFSET(Scenarios!$A$25,0,$C$1)),1)*M$230)*(1+IF(AND(OFFSET(Scenarios!$A$24,0,$C$1)="YES",MID(OFFSET(Scenarios!$A$26,0,$C$1),6,2)&gt;=MID(M$3,4,2)),IF(OFFSET(Scenarios!$A$29,0,$C$1)="Wage",1,OFFSET(Scenarios!$A$25,0,$C$1)),1)*M$215))</f>
        <v>32.457680442404104</v>
      </c>
      <c r="N47" s="303">
        <f ca="1">IF(AND(OR(OFFSET(Scenarios!$A$24,0,$C$1)&lt;&gt;"Yes",MID(OFFSET(Scenarios!$A$26,0,$C$1),6,2)&lt;MID(N$3,4,2)),OFFSET(Scenarios!$A$48,0,$C$1)="Yes"),IF(M$47/M$211&lt;OFFSET(Scenarios!$A$54,0,$C$1),MIN(M$47/M$211+OFFSET(Scenarios!$A$53,0,$C$1),OFFSET(Scenarios!$A$54,0,$C$1)),MAX(M$47/M$211-OFFSET(Scenarios!$A$53,0,$C$1),OFFSET(Scenarios!$A$54,0,$C$1)))*N$211,M$47*(1+N$227)*(1+IF(AND(OFFSET(Scenarios!$A$24,0,$C$1)="YES",MID(OFFSET(Scenarios!$A$26,0,$C$1),6,2)&gt;=MID(N$3,4,2)),IF(OFFSET(Scenarios!$A$29,0,$C$1)="Inflation",1,OFFSET(Scenarios!$A$25,0,$C$1)),1)*N$230)*(1+IF(AND(OFFSET(Scenarios!$A$24,0,$C$1)="YES",MID(OFFSET(Scenarios!$A$26,0,$C$1),6,2)&gt;=MID(N$3,4,2)),IF(OFFSET(Scenarios!$A$29,0,$C$1)="Wage",1,OFFSET(Scenarios!$A$25,0,$C$1)),1)*N$215))</f>
        <v>34.35365793206609</v>
      </c>
      <c r="O47" s="303">
        <f ca="1">IF(AND(OR(OFFSET(Scenarios!$A$24,0,$C$1)&lt;&gt;"Yes",MID(OFFSET(Scenarios!$A$26,0,$C$1),6,2)&lt;MID(O$3,4,2)),OFFSET(Scenarios!$A$48,0,$C$1)="Yes"),IF(N$47/N$211&lt;OFFSET(Scenarios!$A$54,0,$C$1),MIN(N$47/N$211+OFFSET(Scenarios!$A$53,0,$C$1),OFFSET(Scenarios!$A$54,0,$C$1)),MAX(N$47/N$211-OFFSET(Scenarios!$A$53,0,$C$1),OFFSET(Scenarios!$A$54,0,$C$1)))*O$211,N$47*(1+O$227)*(1+IF(AND(OFFSET(Scenarios!$A$24,0,$C$1)="YES",MID(OFFSET(Scenarios!$A$26,0,$C$1),6,2)&gt;=MID(O$3,4,2)),IF(OFFSET(Scenarios!$A$29,0,$C$1)="Inflation",1,OFFSET(Scenarios!$A$25,0,$C$1)),1)*O$230)*(1+IF(AND(OFFSET(Scenarios!$A$24,0,$C$1)="YES",MID(OFFSET(Scenarios!$A$26,0,$C$1),6,2)&gt;=MID(O$3,4,2)),IF(OFFSET(Scenarios!$A$29,0,$C$1)="Wage",1,OFFSET(Scenarios!$A$25,0,$C$1)),1)*O$215))</f>
        <v>36.30578017300529</v>
      </c>
      <c r="P47" s="303">
        <f ca="1">IF(AND(OR(OFFSET(Scenarios!$A$24,0,$C$1)&lt;&gt;"Yes",MID(OFFSET(Scenarios!$A$26,0,$C$1),6,2)&lt;MID(P$3,4,2)),OFFSET(Scenarios!$A$48,0,$C$1)="Yes"),IF(O$47/O$211&lt;OFFSET(Scenarios!$A$54,0,$C$1),MIN(O$47/O$211+OFFSET(Scenarios!$A$53,0,$C$1),OFFSET(Scenarios!$A$54,0,$C$1)),MAX(O$47/O$211-OFFSET(Scenarios!$A$53,0,$C$1),OFFSET(Scenarios!$A$54,0,$C$1)))*P$211,O$47*(1+P$227)*(1+IF(AND(OFFSET(Scenarios!$A$24,0,$C$1)="YES",MID(OFFSET(Scenarios!$A$26,0,$C$1),6,2)&gt;=MID(P$3,4,2)),IF(OFFSET(Scenarios!$A$29,0,$C$1)="Inflation",1,OFFSET(Scenarios!$A$25,0,$C$1)),1)*P$230)*(1+IF(AND(OFFSET(Scenarios!$A$24,0,$C$1)="YES",MID(OFFSET(Scenarios!$A$26,0,$C$1),6,2)&gt;=MID(P$3,4,2)),IF(OFFSET(Scenarios!$A$29,0,$C$1)="Wage",1,OFFSET(Scenarios!$A$25,0,$C$1)),1)*P$215))</f>
        <v>38.358236821552055</v>
      </c>
      <c r="Q47" s="303">
        <f ca="1">IF(AND(OR(OFFSET(Scenarios!$A$24,0,$C$1)&lt;&gt;"Yes",MID(OFFSET(Scenarios!$A$26,0,$C$1),6,2)&lt;MID(Q$3,4,2)),OFFSET(Scenarios!$A$48,0,$C$1)="Yes"),IF(P$47/P$211&lt;OFFSET(Scenarios!$A$54,0,$C$1),MIN(P$47/P$211+OFFSET(Scenarios!$A$53,0,$C$1),OFFSET(Scenarios!$A$54,0,$C$1)),MAX(P$47/P$211-OFFSET(Scenarios!$A$53,0,$C$1),OFFSET(Scenarios!$A$54,0,$C$1)))*Q$211,P$47*(1+Q$227)*(1+IF(AND(OFFSET(Scenarios!$A$24,0,$C$1)="YES",MID(OFFSET(Scenarios!$A$26,0,$C$1),6,2)&gt;=MID(Q$3,4,2)),IF(OFFSET(Scenarios!$A$29,0,$C$1)="Inflation",1,OFFSET(Scenarios!$A$25,0,$C$1)),1)*Q$230)*(1+IF(AND(OFFSET(Scenarios!$A$24,0,$C$1)="YES",MID(OFFSET(Scenarios!$A$26,0,$C$1),6,2)&gt;=MID(Q$3,4,2)),IF(OFFSET(Scenarios!$A$29,0,$C$1)="Wage",1,OFFSET(Scenarios!$A$25,0,$C$1)),1)*Q$215))</f>
        <v>40.51761338154287</v>
      </c>
      <c r="R47" s="303">
        <f ca="1">IF(AND(OR(OFFSET(Scenarios!$A$24,0,$C$1)&lt;&gt;"Yes",MID(OFFSET(Scenarios!$A$26,0,$C$1),6,2)&lt;MID(R$3,4,2)),OFFSET(Scenarios!$A$48,0,$C$1)="Yes"),IF(Q$47/Q$211&lt;OFFSET(Scenarios!$A$54,0,$C$1),MIN(Q$47/Q$211+OFFSET(Scenarios!$A$53,0,$C$1),OFFSET(Scenarios!$A$54,0,$C$1)),MAX(Q$47/Q$211-OFFSET(Scenarios!$A$53,0,$C$1),OFFSET(Scenarios!$A$54,0,$C$1)))*R$211,Q$47*(1+R$227)*(1+IF(AND(OFFSET(Scenarios!$A$24,0,$C$1)="YES",MID(OFFSET(Scenarios!$A$26,0,$C$1),6,2)&gt;=MID(R$3,4,2)),IF(OFFSET(Scenarios!$A$29,0,$C$1)="Inflation",1,OFFSET(Scenarios!$A$25,0,$C$1)),1)*R$230)*(1+IF(AND(OFFSET(Scenarios!$A$24,0,$C$1)="YES",MID(OFFSET(Scenarios!$A$26,0,$C$1),6,2)&gt;=MID(R$3,4,2)),IF(OFFSET(Scenarios!$A$29,0,$C$1)="Wage",1,OFFSET(Scenarios!$A$25,0,$C$1)),1)*R$215))</f>
        <v>42.203439591040855</v>
      </c>
      <c r="S47" s="303">
        <f ca="1">IF(AND(OR(OFFSET(Scenarios!$A$24,0,$C$1)&lt;&gt;"Yes",MID(OFFSET(Scenarios!$A$26,0,$C$1),6,2)&lt;MID(S$3,4,2)),OFFSET(Scenarios!$A$48,0,$C$1)="Yes"),IF(R$47/R$211&lt;OFFSET(Scenarios!$A$54,0,$C$1),MIN(R$47/R$211+OFFSET(Scenarios!$A$53,0,$C$1),OFFSET(Scenarios!$A$54,0,$C$1)),MAX(R$47/R$211-OFFSET(Scenarios!$A$53,0,$C$1),OFFSET(Scenarios!$A$54,0,$C$1)))*S$211,R$47*(1+S$227)*(1+IF(AND(OFFSET(Scenarios!$A$24,0,$C$1)="YES",MID(OFFSET(Scenarios!$A$26,0,$C$1),6,2)&gt;=MID(S$3,4,2)),IF(OFFSET(Scenarios!$A$29,0,$C$1)="Inflation",1,OFFSET(Scenarios!$A$25,0,$C$1)),1)*S$230)*(1+IF(AND(OFFSET(Scenarios!$A$24,0,$C$1)="YES",MID(OFFSET(Scenarios!$A$26,0,$C$1),6,2)&gt;=MID(S$3,4,2)),IF(OFFSET(Scenarios!$A$29,0,$C$1)="Wage",1,OFFSET(Scenarios!$A$25,0,$C$1)),1)*S$215))</f>
        <v>43.95838500149204</v>
      </c>
      <c r="T47" s="303">
        <f ca="1">IF(AND(OR(OFFSET(Scenarios!$A$24,0,$C$1)&lt;&gt;"Yes",MID(OFFSET(Scenarios!$A$26,0,$C$1),6,2)&lt;MID(T$3,4,2)),OFFSET(Scenarios!$A$48,0,$C$1)="Yes"),IF(S$47/S$211&lt;OFFSET(Scenarios!$A$54,0,$C$1),MIN(S$47/S$211+OFFSET(Scenarios!$A$53,0,$C$1),OFFSET(Scenarios!$A$54,0,$C$1)),MAX(S$47/S$211-OFFSET(Scenarios!$A$53,0,$C$1),OFFSET(Scenarios!$A$54,0,$C$1)))*T$211,S$47*(1+T$227)*(1+IF(AND(OFFSET(Scenarios!$A$24,0,$C$1)="YES",MID(OFFSET(Scenarios!$A$26,0,$C$1),6,2)&gt;=MID(T$3,4,2)),IF(OFFSET(Scenarios!$A$29,0,$C$1)="Inflation",1,OFFSET(Scenarios!$A$25,0,$C$1)),1)*T$230)*(1+IF(AND(OFFSET(Scenarios!$A$24,0,$C$1)="YES",MID(OFFSET(Scenarios!$A$26,0,$C$1),6,2)&gt;=MID(T$3,4,2)),IF(OFFSET(Scenarios!$A$29,0,$C$1)="Wage",1,OFFSET(Scenarios!$A$25,0,$C$1)),1)*T$215))</f>
        <v>45.76372310445715</v>
      </c>
      <c r="U47" s="303"/>
    </row>
    <row r="48" spans="1:21" s="304" customFormat="1" ht="12.75">
      <c r="A48" s="344" t="s">
        <v>923</v>
      </c>
      <c r="D48" s="247">
        <f>Data!C$135</f>
        <v>9.891</v>
      </c>
      <c r="E48" s="247">
        <f>Data!D$135</f>
        <v>10.122</v>
      </c>
      <c r="F48" s="224">
        <f ca="1">Data!E$135*(1+IF($F$1="Yes",OFFSET(ReadyReckoner!$A$47,0,F$262),0))+IF($I$1="Yes",F$265,0)</f>
        <v>8.932</v>
      </c>
      <c r="G48" s="224">
        <f ca="1">Data!F$135*(1+IF($F$1="Yes",OFFSET(ReadyReckoner!$A$47,0,G$262),0))+IF($I$1="Yes",G$265,0)</f>
        <v>8.841</v>
      </c>
      <c r="H48" s="224">
        <f ca="1">Data!G$135*(1+IF($F$1="Yes",OFFSET(ReadyReckoner!$A$47,0,H$262),0))+IF($I$1="Yes",H$265,0)</f>
        <v>9.559</v>
      </c>
      <c r="I48" s="224">
        <f ca="1">Data!H$135*(1+IF($F$1="Yes",OFFSET(ReadyReckoner!$A$47,0,I$262),0))+IF($I$1="Yes",I$265,0)</f>
        <v>10.035</v>
      </c>
      <c r="J48" s="224">
        <f ca="1">Data!I$135*(1+IF($F$1="Yes",OFFSET(ReadyReckoner!$A$47,0,J$262),0))+IF($I$1="Yes",J$265,0)</f>
        <v>10.463</v>
      </c>
      <c r="K48" s="303">
        <f ca="1">IF(OFFSET(Scenarios!$A$49,0,$C$1)="Yes",IF(J$48/J$211&lt;OFFSET(Scenarios!$A$55,0,$C$1),MIN(J$48/J$211+OFFSET(Scenarios!$A$53,0,$C$1),OFFSET(Scenarios!$A$55,0,$C$1)),MAX(J$48/J$211-OFFSET(Scenarios!$A$53,0,$C$1),OFFSET(Scenarios!$A$55,0,$C$1)))*K$211,J$48*(1+K$212))</f>
        <v>11.37306374455229</v>
      </c>
      <c r="L48" s="303">
        <f ca="1">IF(OFFSET(Scenarios!$A$49,0,$C$1)="Yes",IF(K$48/K$211&lt;OFFSET(Scenarios!$A$55,0,$C$1),MIN(K$48/K$211+OFFSET(Scenarios!$A$53,0,$C$1),OFFSET(Scenarios!$A$55,0,$C$1)),MAX(K$48/K$211-OFFSET(Scenarios!$A$53,0,$C$1),OFFSET(Scenarios!$A$55,0,$C$1)))*L$211,K$48*(1+L$212))</f>
        <v>11.96010731636442</v>
      </c>
      <c r="M48" s="303">
        <f ca="1">IF(OFFSET(Scenarios!$A$49,0,$C$1)="Yes",IF(L$48/L$211&lt;OFFSET(Scenarios!$A$55,0,$C$1),MIN(L$48/L$211+OFFSET(Scenarios!$A$53,0,$C$1),OFFSET(Scenarios!$A$55,0,$C$1)),MAX(L$48/L$211-OFFSET(Scenarios!$A$53,0,$C$1),OFFSET(Scenarios!$A$55,0,$C$1)))*M$211,L$48*(1+M$212))</f>
        <v>12.478720017180557</v>
      </c>
      <c r="N48" s="303">
        <f ca="1">IF(OFFSET(Scenarios!$A$49,0,$C$1)="Yes",IF(M$48/M$211&lt;OFFSET(Scenarios!$A$55,0,$C$1),MIN(M$48/M$211+OFFSET(Scenarios!$A$53,0,$C$1),OFFSET(Scenarios!$A$55,0,$C$1)),MAX(M$48/M$211-OFFSET(Scenarios!$A$53,0,$C$1),OFFSET(Scenarios!$A$55,0,$C$1)))*N$211,M$48*(1+N$212))</f>
        <v>13.067786558639932</v>
      </c>
      <c r="O48" s="303">
        <f ca="1">IF(OFFSET(Scenarios!$A$49,0,$C$1)="Yes",IF(N$48/N$211&lt;OFFSET(Scenarios!$A$55,0,$C$1),MIN(N$48/N$211+OFFSET(Scenarios!$A$53,0,$C$1),OFFSET(Scenarios!$A$55,0,$C$1)),MAX(N$48/N$211-OFFSET(Scenarios!$A$53,0,$C$1),OFFSET(Scenarios!$A$55,0,$C$1)))*O$211,N$48*(1+O$212))</f>
        <v>13.669398483725795</v>
      </c>
      <c r="P48" s="303">
        <f ca="1">IF(OFFSET(Scenarios!$A$49,0,$C$1)="Yes",IF(O$48/O$211&lt;OFFSET(Scenarios!$A$55,0,$C$1),MIN(O$48/O$211+OFFSET(Scenarios!$A$53,0,$C$1),OFFSET(Scenarios!$A$55,0,$C$1)),MAX(O$48/O$211-OFFSET(Scenarios!$A$53,0,$C$1),OFFSET(Scenarios!$A$55,0,$C$1)))*P$211,O$48*(1+P$212))</f>
        <v>14.283837512967796</v>
      </c>
      <c r="Q48" s="303">
        <f ca="1">IF(OFFSET(Scenarios!$A$49,0,$C$1)="Yes",IF(P$48/P$211&lt;OFFSET(Scenarios!$A$55,0,$C$1),MIN(P$48/P$211+OFFSET(Scenarios!$A$53,0,$C$1),OFFSET(Scenarios!$A$55,0,$C$1)),MAX(P$48/P$211-OFFSET(Scenarios!$A$53,0,$C$1),OFFSET(Scenarios!$A$55,0,$C$1)))*Q$211,P$48*(1+Q$212))</f>
        <v>14.912550449149444</v>
      </c>
      <c r="R48" s="303">
        <f ca="1">IF(OFFSET(Scenarios!$A$49,0,$C$1)="Yes",IF(Q$48/Q$211&lt;OFFSET(Scenarios!$A$55,0,$C$1),MIN(Q$48/Q$211+OFFSET(Scenarios!$A$53,0,$C$1),OFFSET(Scenarios!$A$55,0,$C$1)),MAX(Q$48/Q$211-OFFSET(Scenarios!$A$53,0,$C$1),OFFSET(Scenarios!$A$55,0,$C$1)))*R$211,Q$48*(1+R$212))</f>
        <v>15.555389393852671</v>
      </c>
      <c r="S48" s="303">
        <f ca="1">IF(OFFSET(Scenarios!$A$49,0,$C$1)="Yes",IF(R$48/R$211&lt;OFFSET(Scenarios!$A$55,0,$C$1),MIN(R$48/R$211+OFFSET(Scenarios!$A$53,0,$C$1),OFFSET(Scenarios!$A$55,0,$C$1)),MAX(R$48/R$211-OFFSET(Scenarios!$A$53,0,$C$1),OFFSET(Scenarios!$A$55,0,$C$1)))*S$211,R$48*(1+S$212))</f>
        <v>16.21933999897656</v>
      </c>
      <c r="T48" s="303">
        <f ca="1">IF(OFFSET(Scenarios!$A$49,0,$C$1)="Yes",IF(S$48/S$211&lt;OFFSET(Scenarios!$A$55,0,$C$1),MIN(S$48/S$211+OFFSET(Scenarios!$A$53,0,$C$1),OFFSET(Scenarios!$A$55,0,$C$1)),MAX(S$48/S$211-OFFSET(Scenarios!$A$53,0,$C$1),OFFSET(Scenarios!$A$55,0,$C$1)))*T$211,S$48*(1+T$212))</f>
        <v>16.88545620192862</v>
      </c>
      <c r="U48" s="303"/>
    </row>
    <row r="49" spans="1:21" s="304" customFormat="1" ht="12.75">
      <c r="A49" s="344" t="s">
        <v>738</v>
      </c>
      <c r="D49" s="247">
        <f>SUM(Data!C$132:C$134,Data!C$136:C$138)</f>
        <v>22.193</v>
      </c>
      <c r="E49" s="247">
        <f>SUM(Data!D$132:D$134,Data!D$136:D$138)</f>
        <v>22.905</v>
      </c>
      <c r="F49" s="224">
        <f ca="1">SUM(Data!E$132:E$134,Data!E$136:E$138)*(1+IF($F$1="Yes",OFFSET(ReadyReckoner!$A$47,0,F$262),0))</f>
        <v>23.533</v>
      </c>
      <c r="G49" s="224">
        <f ca="1">SUM(Data!F$132:F$134,Data!F$136:F$138)*(1+IF($F$1="Yes",OFFSET(ReadyReckoner!$A$47,0,G$262),0))</f>
        <v>24.256</v>
      </c>
      <c r="H49" s="224">
        <f ca="1">SUM(Data!G$132:G$134,Data!G$136:G$138)*(1+IF($F$1="Yes",OFFSET(ReadyReckoner!$A$47,0,H$262),0))</f>
        <v>24.705000000000002</v>
      </c>
      <c r="I49" s="224">
        <f ca="1">SUM(Data!H$132:H$134,Data!H$136:H$138)*(1+IF($F$1="Yes",OFFSET(ReadyReckoner!$A$47,0,I$262),0))</f>
        <v>25.717</v>
      </c>
      <c r="J49" s="224">
        <f ca="1">SUM(Data!I$132:I$134,Data!I$136:I$138)*(1+IF($F$1="Yes",OFFSET(ReadyReckoner!$A$47,0,J$262),0))</f>
        <v>26.71</v>
      </c>
      <c r="K49" s="303">
        <f ca="1">IF(OFFSET(Scenarios!$A$50,0,$C$1)="Yes",IF(J$49/J$211&lt;OFFSET(Scenarios!$A$56,0,$C$1),MIN(J$49/J$211+OFFSET(Scenarios!$A$53,0,$C$1),OFFSET(Scenarios!$A$56,0,$C$1)),MAX(J$49/J$211-OFFSET(Scenarios!$A$53,0,$C$1),OFFSET(Scenarios!$A$56,0,$C$1)))*K$211,J$49*(1+K$212))</f>
        <v>27.85862203832245</v>
      </c>
      <c r="L49" s="303">
        <f ca="1">IF(OFFSET(Scenarios!$A$50,0,$C$1)="Yes",IF(K$49/K$211&lt;OFFSET(Scenarios!$A$56,0,$C$1),MIN(K$49/K$211+OFFSET(Scenarios!$A$53,0,$C$1),OFFSET(Scenarios!$A$56,0,$C$1)),MAX(K$49/K$211-OFFSET(Scenarios!$A$53,0,$C$1),OFFSET(Scenarios!$A$56,0,$C$1)))*L$211,K$49*(1+L$212))</f>
        <v>28.965753051134346</v>
      </c>
      <c r="M49" s="303">
        <f ca="1">IF(OFFSET(Scenarios!$A$50,0,$C$1)="Yes",IF(L$49/L$211&lt;OFFSET(Scenarios!$A$56,0,$C$1),MIN(L$49/L$211+OFFSET(Scenarios!$A$53,0,$C$1),OFFSET(Scenarios!$A$56,0,$C$1)),MAX(L$49/L$211-OFFSET(Scenarios!$A$53,0,$C$1),OFFSET(Scenarios!$A$56,0,$C$1)))*M$211,L$49*(1+M$212))</f>
        <v>30.22176246841342</v>
      </c>
      <c r="N49" s="303">
        <f ca="1">IF(OFFSET(Scenarios!$A$50,0,$C$1)="Yes",IF(M$49/M$211&lt;OFFSET(Scenarios!$A$56,0,$C$1),MIN(M$49/M$211+OFFSET(Scenarios!$A$53,0,$C$1),OFFSET(Scenarios!$A$56,0,$C$1)),MAX(M$49/M$211-OFFSET(Scenarios!$A$53,0,$C$1),OFFSET(Scenarios!$A$56,0,$C$1)))*N$211,M$49*(1+N$212))</f>
        <v>31.648401504273238</v>
      </c>
      <c r="O49" s="303">
        <f ca="1">IF(OFFSET(Scenarios!$A$50,0,$C$1)="Yes",IF(N$49/N$211&lt;OFFSET(Scenarios!$A$56,0,$C$1),MIN(N$49/N$211+OFFSET(Scenarios!$A$53,0,$C$1),OFFSET(Scenarios!$A$56,0,$C$1)),MAX(N$49/N$211-OFFSET(Scenarios!$A$53,0,$C$1),OFFSET(Scenarios!$A$56,0,$C$1)))*O$211,N$49*(1+O$212))</f>
        <v>33.10542375279532</v>
      </c>
      <c r="P49" s="303">
        <f ca="1">IF(OFFSET(Scenarios!$A$50,0,$C$1)="Yes",IF(O$49/O$211&lt;OFFSET(Scenarios!$A$56,0,$C$1),MIN(O$49/O$211+OFFSET(Scenarios!$A$53,0,$C$1),OFFSET(Scenarios!$A$56,0,$C$1)),MAX(O$49/O$211-OFFSET(Scenarios!$A$53,0,$C$1),OFFSET(Scenarios!$A$56,0,$C$1)))*P$211,O$49*(1+P$212))</f>
        <v>34.59351150278154</v>
      </c>
      <c r="Q49" s="303">
        <f ca="1">IF(OFFSET(Scenarios!$A$50,0,$C$1)="Yes",IF(P$49/P$211&lt;OFFSET(Scenarios!$A$56,0,$C$1),MIN(P$49/P$211+OFFSET(Scenarios!$A$53,0,$C$1),OFFSET(Scenarios!$A$56,0,$C$1)),MAX(P$49/P$211-OFFSET(Scenarios!$A$53,0,$C$1),OFFSET(Scenarios!$A$56,0,$C$1)))*Q$211,P$49*(1+Q$212))</f>
        <v>36.116168713772765</v>
      </c>
      <c r="R49" s="303">
        <f ca="1">IF(OFFSET(Scenarios!$A$50,0,$C$1)="Yes",IF(Q$49/Q$211&lt;OFFSET(Scenarios!$A$56,0,$C$1),MIN(Q$49/Q$211+OFFSET(Scenarios!$A$53,0,$C$1),OFFSET(Scenarios!$A$56,0,$C$1)),MAX(Q$49/Q$211-OFFSET(Scenarios!$A$53,0,$C$1),OFFSET(Scenarios!$A$56,0,$C$1)))*R$211,Q$49*(1+R$212))</f>
        <v>37.673037195918255</v>
      </c>
      <c r="S49" s="303">
        <f ca="1">IF(OFFSET(Scenarios!$A$50,0,$C$1)="Yes",IF(R$49/R$211&lt;OFFSET(Scenarios!$A$56,0,$C$1),MIN(R$49/R$211+OFFSET(Scenarios!$A$53,0,$C$1),OFFSET(Scenarios!$A$56,0,$C$1)),MAX(R$49/R$211-OFFSET(Scenarios!$A$53,0,$C$1),OFFSET(Scenarios!$A$56,0,$C$1)))*S$211,R$49*(1+S$212))</f>
        <v>39.28103524789693</v>
      </c>
      <c r="T49" s="303">
        <f ca="1">IF(OFFSET(Scenarios!$A$50,0,$C$1)="Yes",IF(S$49/S$211&lt;OFFSET(Scenarios!$A$56,0,$C$1),MIN(S$49/S$211+OFFSET(Scenarios!$A$53,0,$C$1),OFFSET(Scenarios!$A$56,0,$C$1)),MAX(S$49/S$211-OFFSET(Scenarios!$A$53,0,$C$1),OFFSET(Scenarios!$A$56,0,$C$1)))*T$211,S$49*(1+T$212))</f>
        <v>40.894278083240785</v>
      </c>
      <c r="U49" s="303"/>
    </row>
    <row r="50" spans="1:21" s="304" customFormat="1" ht="12.75">
      <c r="A50" s="382" t="s">
        <v>739</v>
      </c>
      <c r="D50" s="141">
        <f aca="true" t="shared" si="23" ref="D50:T50">SUM(D$47:D$49)</f>
        <v>53.06400000000001</v>
      </c>
      <c r="E50" s="141">
        <f t="shared" si="23"/>
        <v>56.372</v>
      </c>
      <c r="F50" s="390">
        <f t="shared" si="23"/>
        <v>55.538000000000004</v>
      </c>
      <c r="G50" s="390">
        <f t="shared" si="23"/>
        <v>56.8</v>
      </c>
      <c r="H50" s="390">
        <f t="shared" si="23"/>
        <v>58.67400000000001</v>
      </c>
      <c r="I50" s="390">
        <f t="shared" si="23"/>
        <v>61.269</v>
      </c>
      <c r="J50" s="390">
        <f t="shared" si="23"/>
        <v>64.374</v>
      </c>
      <c r="K50" s="148">
        <f t="shared" si="23"/>
        <v>68.13686610840297</v>
      </c>
      <c r="L50" s="148">
        <f t="shared" si="23"/>
        <v>71.56414108261139</v>
      </c>
      <c r="M50" s="148">
        <f t="shared" si="23"/>
        <v>75.15816292799808</v>
      </c>
      <c r="N50" s="148">
        <f t="shared" si="23"/>
        <v>79.06984599497926</v>
      </c>
      <c r="O50" s="148">
        <f t="shared" si="23"/>
        <v>83.08060240952639</v>
      </c>
      <c r="P50" s="148">
        <f t="shared" si="23"/>
        <v>87.23558583730139</v>
      </c>
      <c r="Q50" s="148">
        <f t="shared" si="23"/>
        <v>91.54633254446509</v>
      </c>
      <c r="R50" s="148">
        <f t="shared" si="23"/>
        <v>95.43186618081178</v>
      </c>
      <c r="S50" s="148">
        <f t="shared" si="23"/>
        <v>99.45876024836554</v>
      </c>
      <c r="T50" s="148">
        <f t="shared" si="23"/>
        <v>103.54345738962655</v>
      </c>
      <c r="U50" s="148"/>
    </row>
    <row r="51" spans="1:21" s="304" customFormat="1" ht="12.75">
      <c r="A51" s="389" t="s">
        <v>486</v>
      </c>
      <c r="D51" s="247">
        <f aca="true" t="shared" si="24" ref="D51:J51">(D$52-D$50)</f>
        <v>0.4129999999999896</v>
      </c>
      <c r="E51" s="247">
        <f t="shared" si="24"/>
        <v>0.5330000000000013</v>
      </c>
      <c r="F51" s="224">
        <f t="shared" si="24"/>
        <v>0.519999999999996</v>
      </c>
      <c r="G51" s="224">
        <f t="shared" si="24"/>
        <v>0.615000000000002</v>
      </c>
      <c r="H51" s="224">
        <f t="shared" si="24"/>
        <v>0.5939999999999941</v>
      </c>
      <c r="I51" s="224">
        <f t="shared" si="24"/>
        <v>0.6240000000000023</v>
      </c>
      <c r="J51" s="224">
        <f t="shared" si="24"/>
        <v>0.710000000000008</v>
      </c>
      <c r="K51" s="303">
        <f aca="true" t="shared" si="25" ref="K51:T51">J$51*(1+K$212)</f>
        <v>0.7405324465447084</v>
      </c>
      <c r="L51" s="303">
        <f t="shared" si="25"/>
        <v>0.7699619867579788</v>
      </c>
      <c r="M51" s="303">
        <f t="shared" si="25"/>
        <v>0.8033489836231287</v>
      </c>
      <c r="N51" s="303">
        <f t="shared" si="25"/>
        <v>0.8412716236628323</v>
      </c>
      <c r="O51" s="303">
        <f t="shared" si="25"/>
        <v>0.8800019043236591</v>
      </c>
      <c r="P51" s="303">
        <f t="shared" si="25"/>
        <v>0.9195579620731997</v>
      </c>
      <c r="Q51" s="303">
        <f t="shared" si="25"/>
        <v>0.9600329384791818</v>
      </c>
      <c r="R51" s="303">
        <f t="shared" si="25"/>
        <v>1.0014173122089949</v>
      </c>
      <c r="S51" s="303">
        <f t="shared" si="25"/>
        <v>1.0441608021717381</v>
      </c>
      <c r="T51" s="303">
        <f t="shared" si="25"/>
        <v>1.0870437079408939</v>
      </c>
      <c r="U51" s="303"/>
    </row>
    <row r="52" spans="1:21" s="304" customFormat="1" ht="12.75">
      <c r="A52" s="382" t="s">
        <v>930</v>
      </c>
      <c r="D52" s="141">
        <f>Data!C$104</f>
        <v>53.477</v>
      </c>
      <c r="E52" s="141">
        <f>Data!D$104</f>
        <v>56.905</v>
      </c>
      <c r="F52" s="390">
        <f ca="1">Data!E$104+SUM(Data!E$131:E$138)*IF($F$1="YES",OFFSET(ReadyReckoner!$A$47,0,F$262),0)+IF($I$1="YES",SUM(F$264,F$265,0))</f>
        <v>56.058</v>
      </c>
      <c r="G52" s="390">
        <f ca="1">Data!F$104+SUM(Data!F$131:F$138)*IF($F$1="YES",OFFSET(ReadyReckoner!$A$47,0,G$262),0)+IF($I$1="YES",SUM(G$264,G$265,0))</f>
        <v>57.415</v>
      </c>
      <c r="H52" s="390">
        <f ca="1">Data!G$104+SUM(Data!G$131:G$138)*IF($F$1="YES",OFFSET(ReadyReckoner!$A$47,0,H$262),0)+IF($I$1="YES",SUM(H$264,H$265,0))</f>
        <v>59.268</v>
      </c>
      <c r="I52" s="390">
        <f ca="1">Data!H$104+SUM(Data!H$131:H$138)*IF($F$1="YES",OFFSET(ReadyReckoner!$A$47,0,I$262),0)+IF($I$1="YES",SUM(I$264,I$265,0))</f>
        <v>61.893</v>
      </c>
      <c r="J52" s="390">
        <f ca="1">Data!I$104+SUM(Data!I$131:I$138)*IF($F$1="YES",OFFSET(ReadyReckoner!$A$47,0,J$262),0)+IF($I$1="YES",SUM(J$264,J$265,0))</f>
        <v>65.084</v>
      </c>
      <c r="K52" s="148">
        <f aca="true" t="shared" si="26" ref="K52:T52">SUM(K$50,K$51)</f>
        <v>68.87739855494767</v>
      </c>
      <c r="L52" s="148">
        <f t="shared" si="26"/>
        <v>72.33410306936936</v>
      </c>
      <c r="M52" s="148">
        <f>SUM(M$50,M$51)</f>
        <v>75.9615119116212</v>
      </c>
      <c r="N52" s="148">
        <f t="shared" si="26"/>
        <v>79.9111176186421</v>
      </c>
      <c r="O52" s="148">
        <f t="shared" si="26"/>
        <v>83.96060431385006</v>
      </c>
      <c r="P52" s="148">
        <f t="shared" si="26"/>
        <v>88.15514379937459</v>
      </c>
      <c r="Q52" s="148">
        <f t="shared" si="26"/>
        <v>92.50636548294428</v>
      </c>
      <c r="R52" s="148">
        <f t="shared" si="26"/>
        <v>96.43328349302078</v>
      </c>
      <c r="S52" s="148">
        <f t="shared" si="26"/>
        <v>100.50292105053727</v>
      </c>
      <c r="T52" s="148">
        <f t="shared" si="26"/>
        <v>104.63050109756745</v>
      </c>
      <c r="U52" s="148"/>
    </row>
    <row r="53" spans="1:21" s="304" customFormat="1" ht="12.75">
      <c r="A53" s="382"/>
      <c r="D53" s="141"/>
      <c r="E53" s="141"/>
      <c r="F53" s="141"/>
      <c r="G53" s="141"/>
      <c r="H53" s="141"/>
      <c r="I53" s="141"/>
      <c r="J53" s="141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</row>
    <row r="54" spans="1:21" s="108" customFormat="1" ht="12.75">
      <c r="A54" s="150" t="s">
        <v>487</v>
      </c>
      <c r="D54" s="296"/>
      <c r="E54" s="296"/>
      <c r="F54" s="296"/>
      <c r="G54" s="296"/>
      <c r="H54" s="296"/>
      <c r="I54" s="296"/>
      <c r="J54" s="296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</row>
    <row r="55" spans="1:21" s="108" customFormat="1" ht="12.75">
      <c r="A55" s="46" t="s">
        <v>488</v>
      </c>
      <c r="D55" s="296">
        <f>SUM(Data!C$6,Data!C$8,Data!C$10)-D$57</f>
        <v>18.529999999999998</v>
      </c>
      <c r="E55" s="296">
        <f>SUM(Data!D$6,Data!D$8,Data!D$10)-E$57</f>
        <v>21.893</v>
      </c>
      <c r="F55" s="293">
        <f ca="1">SUM(Data!E$6,Data!E$8,Data!E$10)-F$57+IF($F$1="Yes",Data!E$105*OFFSET(ReadyReckoner!$A$48,0,F$262),0)+IF($F$1="Yes",Data!E$107*OFFSET(ReadyReckoner!$A$50,0,F$262),0)+IF($F$1="Yes",Data!E$109*OFFSET(ReadyReckoner!$A$50,0,F$262),0)</f>
        <v>22.235999999999997</v>
      </c>
      <c r="G55" s="293">
        <f ca="1">SUM(Data!F$6,Data!F$8,Data!F$10)-G$57+IF($F$1="Yes",Data!F$105*OFFSET(ReadyReckoner!$A$48,0,G$262),0)+IF($F$1="Yes",Data!F$107*OFFSET(ReadyReckoner!$A$50,0,G$262),0)+IF($F$1="Yes",Data!F$109*OFFSET(ReadyReckoner!$A$50,0,G$262),0)</f>
        <v>23.563</v>
      </c>
      <c r="H55" s="293">
        <f ca="1">SUM(Data!G$6,Data!G$8,Data!G$10)-H$57+IF($F$1="Yes",Data!G$105*OFFSET(ReadyReckoner!$A$48,0,H$262),0)+IF($F$1="Yes",Data!G$107*OFFSET(ReadyReckoner!$A$50,0,H$262),0)+IF($F$1="Yes",Data!G$109*OFFSET(ReadyReckoner!$A$50,0,H$262),0)</f>
        <v>24.88</v>
      </c>
      <c r="I55" s="293">
        <f ca="1">SUM(Data!H$6,Data!H$8,Data!H$10)-I$57+IF($F$1="Yes",Data!H$105*OFFSET(ReadyReckoner!$A$48,0,I$262),0)+IF($F$1="Yes",Data!H$107*OFFSET(ReadyReckoner!$A$50,0,I$262),0)+IF($F$1="Yes",Data!H$109*OFFSET(ReadyReckoner!$A$50,0,I$262),0)</f>
        <v>25.432</v>
      </c>
      <c r="J55" s="293">
        <f ca="1">SUM(Data!I$6,Data!I$8,Data!I$10)-J$57+IF($F$1="Yes",Data!I$105*OFFSET(ReadyReckoner!$A$48,0,J$262),0)+IF($F$1="Yes",Data!I$107*OFFSET(ReadyReckoner!$A$50,0,J$262),0)+IF($F$1="Yes",Data!I$109*OFFSET(ReadyReckoner!$A$50,0,J$262),0)</f>
        <v>26.466</v>
      </c>
      <c r="K55" s="149">
        <f aca="true" t="shared" si="27" ref="K55:T55">J$55*(1+K$212)</f>
        <v>27.60412919753808</v>
      </c>
      <c r="L55" s="149">
        <f t="shared" si="27"/>
        <v>28.701146396530202</v>
      </c>
      <c r="M55" s="149">
        <f t="shared" si="27"/>
        <v>29.945681972633086</v>
      </c>
      <c r="N55" s="149">
        <f t="shared" si="27"/>
        <v>31.359288439239823</v>
      </c>
      <c r="O55" s="149">
        <f t="shared" si="27"/>
        <v>32.80300056314043</v>
      </c>
      <c r="P55" s="149">
        <f t="shared" si="27"/>
        <v>34.27749440032259</v>
      </c>
      <c r="Q55" s="149">
        <f t="shared" si="27"/>
        <v>35.78624190111232</v>
      </c>
      <c r="R55" s="149">
        <f t="shared" si="27"/>
        <v>37.32888814777883</v>
      </c>
      <c r="S55" s="149">
        <f t="shared" si="27"/>
        <v>38.922196887713966</v>
      </c>
      <c r="T55" s="149">
        <f t="shared" si="27"/>
        <v>40.52070249910335</v>
      </c>
      <c r="U55" s="149"/>
    </row>
    <row r="56" spans="1:21" s="108" customFormat="1" ht="12.75">
      <c r="A56" s="46" t="s">
        <v>489</v>
      </c>
      <c r="D56" s="296">
        <f>SUM(Data!C$105,Data!C$107,Data!C$109)</f>
        <v>2.154</v>
      </c>
      <c r="E56" s="296">
        <f>SUM(Data!D$105,Data!D$107,Data!D$109)</f>
        <v>2.728</v>
      </c>
      <c r="F56" s="293">
        <f ca="1">SUM(Data!E$105,Data!E$107,Data!E$109)+IF($F$1="Yes",Data!E$105*OFFSET(ReadyReckoner!$A$48,0,F$262),0)+IF($F$1="Yes",Data!E$107*OFFSET(ReadyReckoner!$A$50,0,F$262),0)+IF($F$1="Yes",Data!E$109*OFFSET(ReadyReckoner!$A$50,0,F$262),0)</f>
        <v>2.414</v>
      </c>
      <c r="G56" s="293">
        <f ca="1">SUM(Data!F$105,Data!F$107,Data!F$109)+IF($F$1="Yes",Data!F$105*OFFSET(ReadyReckoner!$A$48,0,G$262),0)+IF($F$1="Yes",Data!F$107*OFFSET(ReadyReckoner!$A$50,0,G$262),0)+IF($F$1="Yes",Data!F$109*OFFSET(ReadyReckoner!$A$50,0,G$262),0)</f>
        <v>2.4090000000000003</v>
      </c>
      <c r="H56" s="293">
        <f ca="1">SUM(Data!G$105,Data!G$107,Data!G$109)+IF($F$1="Yes",Data!G$105*OFFSET(ReadyReckoner!$A$48,0,H$262),0)+IF($F$1="Yes",Data!G$107*OFFSET(ReadyReckoner!$A$50,0,H$262),0)+IF($F$1="Yes",Data!G$109*OFFSET(ReadyReckoner!$A$50,0,H$262),0)</f>
        <v>2.444</v>
      </c>
      <c r="I56" s="293">
        <f ca="1">SUM(Data!H$105,Data!H$107,Data!H$109)+IF($F$1="Yes",Data!H$105*OFFSET(ReadyReckoner!$A$48,0,I$262),0)+IF($F$1="Yes",Data!H$107*OFFSET(ReadyReckoner!$A$50,0,I$262),0)+IF($F$1="Yes",Data!H$109*OFFSET(ReadyReckoner!$A$50,0,I$262),0)</f>
        <v>2.4819999999999998</v>
      </c>
      <c r="J56" s="293">
        <f ca="1">SUM(Data!I$105,Data!I$107,Data!I$109)+IF($F$1="Yes",Data!I$105*OFFSET(ReadyReckoner!$A$48,0,J$262),0)+IF($F$1="Yes",Data!I$107*OFFSET(ReadyReckoner!$A$50,0,J$262),0)+IF($F$1="Yes",Data!I$109*OFFSET(ReadyReckoner!$A$50,0,J$262),0)</f>
        <v>2.473</v>
      </c>
      <c r="K56" s="149">
        <f aca="true" t="shared" si="28" ref="K56:T56">J$56*(1+K$215)</f>
        <v>2.527918360775785</v>
      </c>
      <c r="L56" s="149">
        <f t="shared" si="28"/>
        <v>2.579000466856019</v>
      </c>
      <c r="M56" s="149">
        <f t="shared" si="28"/>
        <v>2.6305804761931393</v>
      </c>
      <c r="N56" s="149">
        <f t="shared" si="28"/>
        <v>2.683192085717002</v>
      </c>
      <c r="O56" s="149">
        <f t="shared" si="28"/>
        <v>2.736855927431342</v>
      </c>
      <c r="P56" s="149">
        <f t="shared" si="28"/>
        <v>2.791593045979969</v>
      </c>
      <c r="Q56" s="149">
        <f t="shared" si="28"/>
        <v>2.8474249068995685</v>
      </c>
      <c r="R56" s="149">
        <f t="shared" si="28"/>
        <v>2.90437340503756</v>
      </c>
      <c r="S56" s="149">
        <f t="shared" si="28"/>
        <v>2.962460873138311</v>
      </c>
      <c r="T56" s="149">
        <f t="shared" si="28"/>
        <v>3.0217100906010774</v>
      </c>
      <c r="U56" s="149"/>
    </row>
    <row r="57" spans="1:21" s="108" customFormat="1" ht="12.75">
      <c r="A57" s="46" t="s">
        <v>25</v>
      </c>
      <c r="D57" s="296">
        <f>Data!C106</f>
        <v>0</v>
      </c>
      <c r="E57" s="296">
        <f>Data!D106</f>
        <v>0</v>
      </c>
      <c r="F57" s="293">
        <f>Data!E106</f>
        <v>0.088</v>
      </c>
      <c r="G57" s="293">
        <f>Data!F106</f>
        <v>0.414</v>
      </c>
      <c r="H57" s="293">
        <f>Data!G106</f>
        <v>0.846</v>
      </c>
      <c r="I57" s="293">
        <f>Data!H106</f>
        <v>1.044</v>
      </c>
      <c r="J57" s="293">
        <f>Data!I106</f>
        <v>1.577</v>
      </c>
      <c r="K57" s="149">
        <f>Tracks!H$116</f>
        <v>1.35</v>
      </c>
      <c r="L57" s="149">
        <f>Tracks!I$116</f>
        <v>1.35</v>
      </c>
      <c r="M57" s="149">
        <f>Tracks!J$116</f>
        <v>1.35</v>
      </c>
      <c r="N57" s="149">
        <f>Tracks!K$116</f>
        <v>1.35</v>
      </c>
      <c r="O57" s="149">
        <f>Tracks!L$116</f>
        <v>1.35</v>
      </c>
      <c r="P57" s="149">
        <f>Tracks!M$116</f>
        <v>1.2479166666666666</v>
      </c>
      <c r="Q57" s="149">
        <f>Tracks!N$116</f>
        <v>1.1458333333333335</v>
      </c>
      <c r="R57" s="149">
        <f>Tracks!O$116</f>
        <v>1.04375</v>
      </c>
      <c r="S57" s="149">
        <f>Tracks!P$116</f>
        <v>0.9416666666666667</v>
      </c>
      <c r="T57" s="149">
        <f>Tracks!Q$116</f>
        <v>0.8395833333333333</v>
      </c>
      <c r="U57" s="149"/>
    </row>
    <row r="58" spans="1:21" s="108" customFormat="1" ht="12.75">
      <c r="A58" s="50"/>
      <c r="D58" s="121"/>
      <c r="E58" s="121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</row>
    <row r="59" spans="1:21" ht="12.75">
      <c r="A59" s="150" t="s">
        <v>490</v>
      </c>
      <c r="C59"/>
      <c r="D59" s="102"/>
      <c r="E59" s="102"/>
      <c r="F59"/>
      <c r="G59"/>
      <c r="H59"/>
      <c r="I59"/>
      <c r="J59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s="330" customFormat="1" ht="12.75">
      <c r="A60" s="302" t="s">
        <v>127</v>
      </c>
      <c r="B60" s="304"/>
      <c r="D60" s="247">
        <f>Data!C$108-SUM(D$61:D$63)</f>
        <v>1.4801190000000002</v>
      </c>
      <c r="E60" s="247">
        <f>Data!D$108-SUM(E$61:E$63)</f>
        <v>0.8885649999999998</v>
      </c>
      <c r="F60" s="508">
        <f ca="1">Data!E$108-SUM(F$61:F$63)+IF($F$1="Yes",AVERAGE(E$141,F$141)*OFFSET(ReadyReckoner!$A$53,0,F$262)/100,0)+IF($I$1="Yes",F$266,0)</f>
        <v>1.5741339999999997</v>
      </c>
      <c r="G60" s="508">
        <f ca="1">Data!F$108-SUM(G$61:G$63)+IF($F$1="Yes",AVERAGE(F$141,G$141)*OFFSET(ReadyReckoner!$A$53,0,G$262)/100,0)+IF($I$1="Yes",G$266,0)</f>
        <v>1.203605</v>
      </c>
      <c r="H60" s="508">
        <f ca="1">Data!G$108-SUM(H$61:H$63)+IF($F$1="Yes",AVERAGE(G$141,H$141)*OFFSET(ReadyReckoner!$A$53,0,H$262)/100,0)+IF($I$1="Yes",H$266,0)</f>
        <v>1.4063259999999997</v>
      </c>
      <c r="I60" s="508">
        <f ca="1">Data!H$108-SUM(I$61:I$63)+IF($F$1="Yes",AVERAGE(H$141,I$141)*OFFSET(ReadyReckoner!$A$53,0,I$262)/100,0)+IF($I$1="Yes",I$266,0)</f>
        <v>1.4709539999999999</v>
      </c>
      <c r="J60" s="508">
        <f ca="1">Data!I$108-SUM(J$61:J$63)+IF($F$1="Yes",AVERAGE(I$141,J$141)*OFFSET(ReadyReckoner!$A$53,0,J$262)/100,0)+IF($I$1="Yes",J$266,0)</f>
        <v>1.3778520000000003</v>
      </c>
      <c r="K60" s="111">
        <f aca="true" t="shared" si="29" ref="K60:T60">(J$141+J162)*K$218</f>
        <v>1.0277843999999998</v>
      </c>
      <c r="L60" s="111">
        <f t="shared" si="29"/>
        <v>1.0277843999999998</v>
      </c>
      <c r="M60" s="111">
        <f t="shared" si="29"/>
        <v>1.0277843999999998</v>
      </c>
      <c r="N60" s="111">
        <f t="shared" si="29"/>
        <v>1.0277843999999998</v>
      </c>
      <c r="O60" s="111">
        <f t="shared" si="29"/>
        <v>1.0277843999999998</v>
      </c>
      <c r="P60" s="111">
        <f t="shared" si="29"/>
        <v>1.0277843999999998</v>
      </c>
      <c r="Q60" s="111">
        <f t="shared" si="29"/>
        <v>1.0277843999999998</v>
      </c>
      <c r="R60" s="111">
        <f t="shared" si="29"/>
        <v>1.0277843999999998</v>
      </c>
      <c r="S60" s="111">
        <f t="shared" si="29"/>
        <v>1.0277843999999998</v>
      </c>
      <c r="T60" s="111">
        <f t="shared" si="29"/>
        <v>1.0277843999999998</v>
      </c>
      <c r="U60" s="111"/>
    </row>
    <row r="61" spans="1:21" s="330" customFormat="1" ht="12.75">
      <c r="A61" s="302" t="s">
        <v>126</v>
      </c>
      <c r="B61" s="304"/>
      <c r="D61" s="103">
        <f aca="true" t="shared" si="30" ref="D61:T61">D$113-D$121</f>
        <v>0.418881</v>
      </c>
      <c r="E61" s="103">
        <f t="shared" si="30"/>
        <v>0.347435</v>
      </c>
      <c r="F61" s="508">
        <f t="shared" si="30"/>
        <v>0.395866</v>
      </c>
      <c r="G61" s="508">
        <f t="shared" si="30"/>
        <v>0.447395</v>
      </c>
      <c r="H61" s="508">
        <f t="shared" si="30"/>
        <v>0.5176740000000001</v>
      </c>
      <c r="I61" s="508">
        <f t="shared" si="30"/>
        <v>0.5920460000000001</v>
      </c>
      <c r="J61" s="508">
        <f t="shared" si="30"/>
        <v>0.667148</v>
      </c>
      <c r="K61" s="111">
        <f t="shared" si="30"/>
        <v>0.731774569595751</v>
      </c>
      <c r="L61" s="111">
        <f t="shared" si="30"/>
        <v>0.8184330091088323</v>
      </c>
      <c r="M61" s="111">
        <f t="shared" si="30"/>
        <v>0.9093450607386316</v>
      </c>
      <c r="N61" s="111">
        <f t="shared" si="30"/>
        <v>1.0057367121723926</v>
      </c>
      <c r="O61" s="111">
        <f t="shared" si="30"/>
        <v>1.1083161729479114</v>
      </c>
      <c r="P61" s="111">
        <f t="shared" si="30"/>
        <v>1.2171073112112014</v>
      </c>
      <c r="Q61" s="111">
        <f t="shared" si="30"/>
        <v>1.3319901076167702</v>
      </c>
      <c r="R61" s="111">
        <f t="shared" si="30"/>
        <v>1.4521472683264254</v>
      </c>
      <c r="S61" s="111">
        <f t="shared" si="30"/>
        <v>1.5765981467171457</v>
      </c>
      <c r="T61" s="111">
        <f t="shared" si="30"/>
        <v>1.7049119356160827</v>
      </c>
      <c r="U61" s="111"/>
    </row>
    <row r="62" spans="1:21" s="304" customFormat="1" ht="12.75">
      <c r="A62" s="302" t="s">
        <v>130</v>
      </c>
      <c r="D62" s="247">
        <f aca="true" t="shared" si="31" ref="D62:T62">D$155</f>
        <v>0.36</v>
      </c>
      <c r="E62" s="247">
        <f t="shared" si="31"/>
        <v>0.407</v>
      </c>
      <c r="F62" s="392">
        <f t="shared" si="31"/>
        <v>0.452</v>
      </c>
      <c r="G62" s="392">
        <f t="shared" si="31"/>
        <v>0.483</v>
      </c>
      <c r="H62" s="392">
        <f t="shared" si="31"/>
        <v>0.51</v>
      </c>
      <c r="I62" s="392">
        <f t="shared" si="31"/>
        <v>0.539</v>
      </c>
      <c r="J62" s="392">
        <f t="shared" si="31"/>
        <v>0.568</v>
      </c>
      <c r="K62" s="303">
        <f t="shared" si="31"/>
        <v>0.5951786518327443</v>
      </c>
      <c r="L62" s="303">
        <f t="shared" si="31"/>
        <v>0.6216165016350962</v>
      </c>
      <c r="M62" s="303">
        <f t="shared" si="31"/>
        <v>0.6473097937422013</v>
      </c>
      <c r="N62" s="303">
        <f t="shared" si="31"/>
        <v>0.6722665353302332</v>
      </c>
      <c r="O62" s="303">
        <f t="shared" si="31"/>
        <v>0.6965043102457689</v>
      </c>
      <c r="P62" s="303">
        <f t="shared" si="31"/>
        <v>0.7200483074782938</v>
      </c>
      <c r="Q62" s="303">
        <f t="shared" si="31"/>
        <v>0.7429295778013747</v>
      </c>
      <c r="R62" s="303">
        <f t="shared" si="31"/>
        <v>0.7651835190413887</v>
      </c>
      <c r="S62" s="303">
        <f t="shared" si="31"/>
        <v>0.7868485812635443</v>
      </c>
      <c r="T62" s="303">
        <f t="shared" si="31"/>
        <v>0.8079978859862095</v>
      </c>
      <c r="U62" s="303"/>
    </row>
    <row r="63" spans="1:21" s="304" customFormat="1" ht="12.75">
      <c r="A63" s="302" t="s">
        <v>815</v>
      </c>
      <c r="D63" s="247">
        <f>SUM(Data!C$199,Data!C$200)</f>
        <v>0.321</v>
      </c>
      <c r="E63" s="247">
        <f>SUM(Data!D$199,Data!D$200)</f>
        <v>0.701</v>
      </c>
      <c r="F63" s="224">
        <f>SUM(Data!E$199,Data!E$200)</f>
        <v>0.225</v>
      </c>
      <c r="G63" s="224">
        <f>SUM(Data!F$199,Data!F$200)</f>
        <v>0.516</v>
      </c>
      <c r="H63" s="224">
        <f>SUM(Data!G$199,Data!G$200)</f>
        <v>0.43</v>
      </c>
      <c r="I63" s="224">
        <f>SUM(Data!H$199,Data!H$200)</f>
        <v>0.387</v>
      </c>
      <c r="J63" s="224">
        <f>SUM(Data!I$199,Data!I$200)</f>
        <v>0.414</v>
      </c>
      <c r="K63" s="303">
        <f aca="true" t="shared" si="32" ref="K63:T63">J$63*(1+K$212)</f>
        <v>0.4318034265767688</v>
      </c>
      <c r="L63" s="303">
        <f t="shared" si="32"/>
        <v>0.44896375002506994</v>
      </c>
      <c r="M63" s="303">
        <f t="shared" si="32"/>
        <v>0.4684316608731994</v>
      </c>
      <c r="N63" s="303">
        <f t="shared" si="32"/>
        <v>0.49054429886818124</v>
      </c>
      <c r="O63" s="303">
        <f t="shared" si="32"/>
        <v>0.5131278709718181</v>
      </c>
      <c r="P63" s="303">
        <f t="shared" si="32"/>
        <v>0.5361929525328176</v>
      </c>
      <c r="Q63" s="303">
        <f t="shared" si="32"/>
        <v>0.5597938542681364</v>
      </c>
      <c r="R63" s="303">
        <f t="shared" si="32"/>
        <v>0.5839250243021399</v>
      </c>
      <c r="S63" s="303">
        <f t="shared" si="32"/>
        <v>0.6088486930973166</v>
      </c>
      <c r="T63" s="303">
        <f t="shared" si="32"/>
        <v>0.6338536550528522</v>
      </c>
      <c r="U63" s="303"/>
    </row>
    <row r="64" spans="1:21" s="304" customFormat="1" ht="12.75">
      <c r="A64" s="382" t="s">
        <v>136</v>
      </c>
      <c r="D64" s="141">
        <f aca="true" t="shared" si="33" ref="D64:T64">SUM(D$60:D$63)</f>
        <v>2.5800000000000005</v>
      </c>
      <c r="E64" s="141">
        <f t="shared" si="33"/>
        <v>2.344</v>
      </c>
      <c r="F64" s="390">
        <f t="shared" si="33"/>
        <v>2.647</v>
      </c>
      <c r="G64" s="390">
        <f t="shared" si="33"/>
        <v>2.65</v>
      </c>
      <c r="H64" s="390">
        <f t="shared" si="33"/>
        <v>2.8640000000000003</v>
      </c>
      <c r="I64" s="390">
        <f t="shared" si="33"/>
        <v>2.989</v>
      </c>
      <c r="J64" s="390">
        <f t="shared" si="33"/>
        <v>3.0270000000000006</v>
      </c>
      <c r="K64" s="148">
        <f t="shared" si="33"/>
        <v>2.7865410480052644</v>
      </c>
      <c r="L64" s="148">
        <f t="shared" si="33"/>
        <v>2.9167976607689985</v>
      </c>
      <c r="M64" s="148">
        <f t="shared" si="33"/>
        <v>3.052870915354032</v>
      </c>
      <c r="N64" s="148">
        <f t="shared" si="33"/>
        <v>3.196331946370807</v>
      </c>
      <c r="O64" s="148">
        <f t="shared" si="33"/>
        <v>3.345732754165498</v>
      </c>
      <c r="P64" s="148">
        <f t="shared" si="33"/>
        <v>3.5011329712223125</v>
      </c>
      <c r="Q64" s="148">
        <f t="shared" si="33"/>
        <v>3.662497939686281</v>
      </c>
      <c r="R64" s="148">
        <f t="shared" si="33"/>
        <v>3.8290402116699536</v>
      </c>
      <c r="S64" s="148">
        <f t="shared" si="33"/>
        <v>4.000079821078007</v>
      </c>
      <c r="T64" s="148">
        <f t="shared" si="33"/>
        <v>4.174547876655144</v>
      </c>
      <c r="U64" s="148"/>
    </row>
    <row r="65" spans="1:21" s="304" customFormat="1" ht="12.75">
      <c r="A65" s="302" t="s">
        <v>274</v>
      </c>
      <c r="D65" s="247">
        <f aca="true" t="shared" si="34" ref="D65:J65">SUM(D$128,D$137)</f>
        <v>0.507456</v>
      </c>
      <c r="E65" s="247">
        <f t="shared" si="34"/>
        <v>0.8827659999999999</v>
      </c>
      <c r="F65" s="224">
        <f t="shared" si="34"/>
        <v>0.8486739999999999</v>
      </c>
      <c r="G65" s="224">
        <f t="shared" si="34"/>
        <v>0.905359</v>
      </c>
      <c r="H65" s="224">
        <f t="shared" si="34"/>
        <v>0.963717</v>
      </c>
      <c r="I65" s="224">
        <f t="shared" si="34"/>
        <v>1.013865</v>
      </c>
      <c r="J65" s="224">
        <f t="shared" si="34"/>
        <v>1.051427</v>
      </c>
      <c r="K65" s="303">
        <f>SUM(K$128,K$137)+J$164*K$218*0</f>
        <v>1.1110944071429614</v>
      </c>
      <c r="L65" s="303">
        <f aca="true" t="shared" si="35" ref="L65:T65">SUM(L$128,L$137)+K$164*L$218*0</f>
        <v>1.1825144292682561</v>
      </c>
      <c r="M65" s="303">
        <f t="shared" si="35"/>
        <v>1.2585348733723298</v>
      </c>
      <c r="N65" s="303">
        <f t="shared" si="35"/>
        <v>1.3394527058623726</v>
      </c>
      <c r="O65" s="303">
        <f t="shared" si="35"/>
        <v>1.4255841049761744</v>
      </c>
      <c r="P65" s="303">
        <f t="shared" si="35"/>
        <v>1.517265706437534</v>
      </c>
      <c r="Q65" s="303">
        <f t="shared" si="35"/>
        <v>1.614855930059777</v>
      </c>
      <c r="R65" s="303">
        <f t="shared" si="35"/>
        <v>1.7187363925697152</v>
      </c>
      <c r="S65" s="303">
        <f t="shared" si="35"/>
        <v>1.8293134122685575</v>
      </c>
      <c r="T65" s="303">
        <f t="shared" si="35"/>
        <v>1.947019611512991</v>
      </c>
      <c r="U65" s="303"/>
    </row>
    <row r="66" spans="1:21" s="304" customFormat="1" ht="12.75">
      <c r="A66" s="391" t="s">
        <v>493</v>
      </c>
      <c r="D66" s="247">
        <f>SUM(D$64:D$65)-Data!C$9</f>
        <v>0.09245600000000032</v>
      </c>
      <c r="E66" s="247">
        <f>SUM(E$64:E$65)-Data!D$9</f>
        <v>0.012765999999999611</v>
      </c>
      <c r="F66" s="224">
        <f>SUM(F$64:F$65)-Data!E$9</f>
        <v>-0.3323260000000001</v>
      </c>
      <c r="G66" s="224">
        <f>SUM(G$64:G$65)-Data!F$9</f>
        <v>-0.31164099999999983</v>
      </c>
      <c r="H66" s="224">
        <f>SUM(H$64:H$65)-Data!G$9</f>
        <v>-0.42828299999999997</v>
      </c>
      <c r="I66" s="224">
        <f>SUM(I$64:I$65)-Data!H$9</f>
        <v>-0.4531350000000005</v>
      </c>
      <c r="J66" s="224">
        <f>SUM(J$64:J$65)-Data!I$9</f>
        <v>-0.3925729999999996</v>
      </c>
      <c r="K66" s="303">
        <f aca="true" t="shared" si="36" ref="K66:T66">(J$66-SUM(J$129,J$138))*(1+K$212)+SUM(K$129,K$138)</f>
        <v>-0.4006496623017415</v>
      </c>
      <c r="L66" s="303">
        <f t="shared" si="36"/>
        <v>-0.40391635760099087</v>
      </c>
      <c r="M66" s="303">
        <f t="shared" si="36"/>
        <v>-0.4097665439079523</v>
      </c>
      <c r="N66" s="303">
        <f t="shared" si="36"/>
        <v>-0.4187443846952752</v>
      </c>
      <c r="O66" s="303">
        <f t="shared" si="36"/>
        <v>-0.4262911194108737</v>
      </c>
      <c r="P66" s="303">
        <f t="shared" si="36"/>
        <v>-0.4322691758832563</v>
      </c>
      <c r="Q66" s="303">
        <f t="shared" si="36"/>
        <v>-0.43661908612821443</v>
      </c>
      <c r="R66" s="303">
        <f t="shared" si="36"/>
        <v>-0.4391486209810578</v>
      </c>
      <c r="S66" s="303">
        <f t="shared" si="36"/>
        <v>-0.4401966825519086</v>
      </c>
      <c r="T66" s="303">
        <f t="shared" si="36"/>
        <v>-0.4381146005666986</v>
      </c>
      <c r="U66" s="303"/>
    </row>
    <row r="67" spans="1:21" s="304" customFormat="1" ht="12.75">
      <c r="A67" s="382" t="s">
        <v>932</v>
      </c>
      <c r="D67" s="141">
        <f>SUM(D$64,D$65,-D$66)</f>
        <v>2.995</v>
      </c>
      <c r="E67" s="141">
        <f>SUM(E$64,E$65,-E$66)</f>
        <v>3.214</v>
      </c>
      <c r="F67" s="390">
        <f ca="1">SUM(F$64,F$65,-F$66)+IF($I$1="YES",F$266,0)+IF($F$1="Yes",AVERAGE(E$141,F$141)*OFFSET(ReadyReckoner!$A$53,0,F$262)/100,0)</f>
        <v>3.828</v>
      </c>
      <c r="G67" s="390">
        <f ca="1">SUM(G$64,G$65,-G$66)+IF($I$1="YES",G$266,0)+IF($F$1="Yes",AVERAGE(F$141,G$141)*OFFSET(ReadyReckoner!$A$53,0,G$262)/100,0)</f>
        <v>3.867</v>
      </c>
      <c r="H67" s="390">
        <f ca="1">SUM(H$64,H$65,-H$66)+IF($I$1="YES",H$266,0)+IF($F$1="Yes",AVERAGE(G$141,H$141)*OFFSET(ReadyReckoner!$A$53,0,H$262)/100,0)</f>
        <v>4.256</v>
      </c>
      <c r="I67" s="390">
        <f ca="1">SUM(I$64,I$65,-I$66)+IF($I$1="YES",I$266,0)+IF($F$1="Yes",AVERAGE(H$141,I$141)*OFFSET(ReadyReckoner!$A$53,0,I$262)/100,0)</f>
        <v>4.456</v>
      </c>
      <c r="J67" s="390">
        <f ca="1">SUM(J$64,J$65,-J$66)+IF($I$1="YES",J$266,0)+IF($F$1="Yes",AVERAGE(I$141,J$141)*OFFSET(ReadyReckoner!$A$53,0,J$262)/100,0)</f>
        <v>4.471</v>
      </c>
      <c r="K67" s="148">
        <f aca="true" t="shared" si="37" ref="K67:T67">SUM(K$64,K$65,-K$66)</f>
        <v>4.298285117449968</v>
      </c>
      <c r="L67" s="148">
        <f t="shared" si="37"/>
        <v>4.503228447638246</v>
      </c>
      <c r="M67" s="148">
        <f t="shared" si="37"/>
        <v>4.721172332634314</v>
      </c>
      <c r="N67" s="148">
        <f t="shared" si="37"/>
        <v>4.954529036928454</v>
      </c>
      <c r="O67" s="148">
        <f t="shared" si="37"/>
        <v>5.197607978552546</v>
      </c>
      <c r="P67" s="148">
        <f t="shared" si="37"/>
        <v>5.450667853543102</v>
      </c>
      <c r="Q67" s="148">
        <f t="shared" si="37"/>
        <v>5.713972955874272</v>
      </c>
      <c r="R67" s="148">
        <f t="shared" si="37"/>
        <v>5.986925225220727</v>
      </c>
      <c r="S67" s="148">
        <f t="shared" si="37"/>
        <v>6.269589915898473</v>
      </c>
      <c r="T67" s="148">
        <f t="shared" si="37"/>
        <v>6.559682088734832</v>
      </c>
      <c r="U67" s="148"/>
    </row>
    <row r="68" spans="1:21" ht="12.75">
      <c r="A68" s="49"/>
      <c r="C68"/>
      <c r="D68" s="99"/>
      <c r="E68" s="99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</row>
    <row r="69" spans="1:21" ht="12.75">
      <c r="A69" s="150" t="s">
        <v>138</v>
      </c>
      <c r="B69" s="108"/>
      <c r="C69"/>
      <c r="D69" s="101">
        <f ca="1">IF(OFFSET(Scenarios!$A$61,0,$C$1)="Yes",0,D$70-C$70)</f>
        <v>0</v>
      </c>
      <c r="E69" s="101">
        <f ca="1">IF(OFFSET(Scenarios!$A$61,0,$C$1)="Yes",0,E$70-D$70)</f>
        <v>0</v>
      </c>
      <c r="F69" s="293">
        <f ca="1">IF(OFFSET(Scenarios!$A$61,0,$C$1)="Yes",0,F$70-E$70)</f>
        <v>0.172</v>
      </c>
      <c r="G69" s="293">
        <f ca="1">IF(OFFSET(Scenarios!$A$61,0,$C$1)="Yes",0,G$70-F$70)</f>
        <v>1.443</v>
      </c>
      <c r="H69" s="293">
        <f ca="1">IF(OFFSET(Scenarios!$A$61,0,$C$1)="Yes",0,H$70-G$70)</f>
        <v>1.8830000000000002</v>
      </c>
      <c r="I69" s="293">
        <f ca="1">IF(OFFSET(Scenarios!$A$61,0,$C$1)="Yes",0,I$70-H$70)</f>
        <v>1.79</v>
      </c>
      <c r="J69" s="293">
        <f ca="1">IF(OFFSET(Scenarios!$A$61,0,$C$1)="Yes",0,J$70-I$70)</f>
        <v>1.8609999999999998</v>
      </c>
      <c r="K69" s="149">
        <f ca="1">IF(OFFSET(Scenarios!$A$61,0,$C$1)="Yes",0,IF(K$1="Proj Yr1",OFFSET(Scenarios!$A$31,0,$C$1),J$69*(1+IF(OFFSET(Scenarios!$A$35,0,$C$1)="GDP",K$212,IF(OFFSET(Scenarios!$A$35,0,$C$1)="CPI",K$215,0)))))</f>
        <v>1.694</v>
      </c>
      <c r="L69" s="149">
        <f ca="1">IF(OFFSET(Scenarios!$A$61,0,$C$1)="Yes",0,IF(L$1="Proj Yr1",OFFSET(Scenarios!$A$31,0,$C$1),K$69*(1+IF(OFFSET(Scenarios!$A$35,0,$C$1)="GDP",L$212,IF(OFFSET(Scenarios!$A$35,0,$C$1)="CPI",L$215,0)))))</f>
        <v>1.7282309660955033</v>
      </c>
      <c r="M69" s="149">
        <f ca="1">IF(OFFSET(Scenarios!$A$61,0,$C$1)="Yes",0,IF(M$1="Proj Yr1",OFFSET(Scenarios!$A$31,0,$C$1),L$69*(1+IF(OFFSET(Scenarios!$A$35,0,$C$1)="GDP",M$212,IF(OFFSET(Scenarios!$A$35,0,$C$1)="CPI",M$215,0)))))</f>
        <v>1.7627955854174133</v>
      </c>
      <c r="N69" s="149">
        <f ca="1">IF(OFFSET(Scenarios!$A$61,0,$C$1)="Yes",0,IF(N$1="Proj Yr1",OFFSET(Scenarios!$A$31,0,$C$1),M$69*(1+IF(OFFSET(Scenarios!$A$35,0,$C$1)="GDP",N$212,IF(OFFSET(Scenarios!$A$35,0,$C$1)="CPI",N$215,0)))))</f>
        <v>1.7980514971257617</v>
      </c>
      <c r="O69" s="149">
        <f ca="1">IF(OFFSET(Scenarios!$A$61,0,$C$1)="Yes",0,IF(O$1="Proj Yr1",OFFSET(Scenarios!$A$31,0,$C$1),N$69*(1+IF(OFFSET(Scenarios!$A$35,0,$C$1)="GDP",O$212,IF(OFFSET(Scenarios!$A$35,0,$C$1)="CPI",O$215,0)))))</f>
        <v>1.834012527068277</v>
      </c>
      <c r="P69" s="149">
        <f ca="1">IF(OFFSET(Scenarios!$A$61,0,$C$1)="Yes",0,IF(P$1="Proj Yr1",OFFSET(Scenarios!$A$31,0,$C$1),O$69*(1+IF(OFFSET(Scenarios!$A$35,0,$C$1)="GDP",P$212,IF(OFFSET(Scenarios!$A$35,0,$C$1)="CPI",P$215,0)))))</f>
        <v>1.8706927776096425</v>
      </c>
      <c r="Q69" s="149">
        <f ca="1">IF(OFFSET(Scenarios!$A$61,0,$C$1)="Yes",0,IF(Q$1="Proj Yr1",OFFSET(Scenarios!$A$31,0,$C$1),P$69*(1+IF(OFFSET(Scenarios!$A$35,0,$C$1)="GDP",Q$212,IF(OFFSET(Scenarios!$A$35,0,$C$1)="CPI",Q$215,0)))))</f>
        <v>1.9081066331618353</v>
      </c>
      <c r="R69" s="149">
        <f ca="1">IF(OFFSET(Scenarios!$A$61,0,$C$1)="Yes",0,IF(R$1="Proj Yr1",OFFSET(Scenarios!$A$31,0,$C$1),Q$69*(1+IF(OFFSET(Scenarios!$A$35,0,$C$1)="GDP",R$212,IF(OFFSET(Scenarios!$A$35,0,$C$1)="CPI",R$215,0)))))</f>
        <v>1.946268765825072</v>
      </c>
      <c r="S69" s="149">
        <f ca="1">IF(OFFSET(Scenarios!$A$61,0,$C$1)="Yes",0,IF(S$1="Proj Yr1",OFFSET(Scenarios!$A$31,0,$C$1),R$69*(1+IF(OFFSET(Scenarios!$A$35,0,$C$1)="GDP",S$212,IF(OFFSET(Scenarios!$A$35,0,$C$1)="CPI",S$215,0)))))</f>
        <v>1.9851941411415734</v>
      </c>
      <c r="T69" s="149">
        <f ca="1">IF(OFFSET(Scenarios!$A$61,0,$C$1)="Yes",0,IF(T$1="Proj Yr1",OFFSET(Scenarios!$A$31,0,$C$1),S$69*(1+IF(OFFSET(Scenarios!$A$35,0,$C$1)="GDP",T$212,IF(OFFSET(Scenarios!$A$35,0,$C$1)="CPI",T$215,0)))))</f>
        <v>2.024898023964405</v>
      </c>
      <c r="U69" s="149"/>
    </row>
    <row r="70" spans="1:21" ht="12.75">
      <c r="A70" s="50" t="s">
        <v>785</v>
      </c>
      <c r="B70" s="108"/>
      <c r="C70"/>
      <c r="D70" s="247">
        <f>Data!C$30</f>
        <v>0</v>
      </c>
      <c r="E70" s="247">
        <f>Data!D$30</f>
        <v>0</v>
      </c>
      <c r="F70" s="293">
        <f>Data!E$30+IF($I$1="Yes",F$267,0)</f>
        <v>0.172</v>
      </c>
      <c r="G70" s="293">
        <f>Data!F$30+IF($I$1="Yes",G$267,0)</f>
        <v>1.615</v>
      </c>
      <c r="H70" s="293">
        <f>Data!G$30+IF($I$1="Yes",H$267,0)</f>
        <v>3.498</v>
      </c>
      <c r="I70" s="293">
        <f>Data!H$30+IF($I$1="Yes",I$267,0)</f>
        <v>5.288</v>
      </c>
      <c r="J70" s="293">
        <f>Data!I$30+IF($I$1="Yes",J$267,0)</f>
        <v>7.149</v>
      </c>
      <c r="K70" s="140">
        <f ca="1">J$70+IF(K$1="Proj Yr1",OFFSET(Scenarios!$A$31,0,$C$1),(J$70-I$70)*(1+IF(OFFSET(Scenarios!$A$35,0,$C$1)="GDP",K$212,IF(OFFSET(Scenarios!$A$35,0,$C$1)="CPI",K$215,0))))</f>
        <v>8.843</v>
      </c>
      <c r="L70" s="140">
        <f ca="1">K$70+IF(L$1="Proj Yr1",OFFSET(Scenarios!$A$31,0,$C$1),(K$70-J$70)*(1+IF(OFFSET(Scenarios!$A$35,0,$C$1)="GDP",L$212,IF(OFFSET(Scenarios!$A$35,0,$C$1)="CPI",L$215,0))))</f>
        <v>10.571230966095504</v>
      </c>
      <c r="M70" s="140">
        <f ca="1">L$70+IF(M$1="Proj Yr1",OFFSET(Scenarios!$A$31,0,$C$1),(L$70-K$70)*(1+IF(OFFSET(Scenarios!$A$35,0,$C$1)="GDP",M$212,IF(OFFSET(Scenarios!$A$35,0,$C$1)="CPI",M$215,0))))</f>
        <v>12.334026551512919</v>
      </c>
      <c r="N70" s="140">
        <f ca="1">M$70+IF(N$1="Proj Yr1",OFFSET(Scenarios!$A$31,0,$C$1),(M$70-L$70)*(1+IF(OFFSET(Scenarios!$A$35,0,$C$1)="GDP",N$212,IF(OFFSET(Scenarios!$A$35,0,$C$1)="CPI",N$215,0))))</f>
        <v>14.132078048638682</v>
      </c>
      <c r="O70" s="140">
        <f ca="1">N$70+IF(O$1="Proj Yr1",OFFSET(Scenarios!$A$31,0,$C$1),(N$70-M$70)*(1+IF(OFFSET(Scenarios!$A$35,0,$C$1)="GDP",O$212,IF(OFFSET(Scenarios!$A$35,0,$C$1)="CPI",O$215,0))))</f>
        <v>15.96609057570696</v>
      </c>
      <c r="P70" s="140">
        <f ca="1">O$70+IF(P$1="Proj Yr1",OFFSET(Scenarios!$A$31,0,$C$1),(O$70-N$70)*(1+IF(OFFSET(Scenarios!$A$35,0,$C$1)="GDP",P$212,IF(OFFSET(Scenarios!$A$35,0,$C$1)="CPI",P$215,0))))</f>
        <v>17.836783353316605</v>
      </c>
      <c r="Q70" s="140">
        <f ca="1">P$70+IF(Q$1="Proj Yr1",OFFSET(Scenarios!$A$31,0,$C$1),(P$70-O$70)*(1+IF(OFFSET(Scenarios!$A$35,0,$C$1)="GDP",Q$212,IF(OFFSET(Scenarios!$A$35,0,$C$1)="CPI",Q$215,0))))</f>
        <v>19.74488998647844</v>
      </c>
      <c r="R70" s="140">
        <f ca="1">Q$70+IF(R$1="Proj Yr1",OFFSET(Scenarios!$A$31,0,$C$1),(Q$70-P$70)*(1+IF(OFFSET(Scenarios!$A$35,0,$C$1)="GDP",R$212,IF(OFFSET(Scenarios!$A$35,0,$C$1)="CPI",R$215,0))))</f>
        <v>21.691158752303515</v>
      </c>
      <c r="S70" s="140">
        <f ca="1">R$70+IF(S$1="Proj Yr1",OFFSET(Scenarios!$A$31,0,$C$1),(R$70-Q$70)*(1+IF(OFFSET(Scenarios!$A$35,0,$C$1)="GDP",S$212,IF(OFFSET(Scenarios!$A$35,0,$C$1)="CPI",S$215,0))))</f>
        <v>23.67635289344509</v>
      </c>
      <c r="T70" s="140">
        <f ca="1">S$70+IF(T$1="Proj Yr1",OFFSET(Scenarios!$A$31,0,$C$1),(S$70-R$70)*(1+IF(OFFSET(Scenarios!$A$35,0,$C$1)="GDP",T$212,IF(OFFSET(Scenarios!$A$35,0,$C$1)="CPI",T$215,0))))</f>
        <v>25.7012509174095</v>
      </c>
      <c r="U70" s="140"/>
    </row>
    <row r="71" spans="1:21" ht="12.75">
      <c r="A71" s="49"/>
      <c r="C71" s="103"/>
      <c r="D71" s="103"/>
      <c r="E71" s="462"/>
      <c r="F71" s="177"/>
      <c r="G71" s="177"/>
      <c r="H71" s="177"/>
      <c r="I71" s="177"/>
      <c r="J71" s="177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</row>
    <row r="72" spans="1:9" ht="12.75">
      <c r="A72" s="150" t="s">
        <v>139</v>
      </c>
      <c r="C72" s="104"/>
      <c r="D72" s="99"/>
      <c r="E72" s="458"/>
      <c r="F72" s="104"/>
      <c r="G72" s="104"/>
      <c r="H72" s="104"/>
      <c r="I72" s="104"/>
    </row>
    <row r="73" spans="1:21" s="330" customFormat="1" ht="12.75">
      <c r="A73" s="302" t="s">
        <v>748</v>
      </c>
      <c r="B73" s="331"/>
      <c r="C73" s="111"/>
      <c r="D73" s="103">
        <f>Data!C$140</f>
        <v>6.81</v>
      </c>
      <c r="E73" s="103">
        <f>Data!D$140</f>
        <v>7.348</v>
      </c>
      <c r="F73" s="177">
        <f ca="1">Data!E$140*IF($F$1="Yes",PRODUCT(OFFSET(ReadyReckoner!$A$52,0,2,1,F$262-1)),1)</f>
        <v>7.785</v>
      </c>
      <c r="G73" s="177">
        <f ca="1">Data!F$140*IF($F$1="Yes",PRODUCT(OFFSET(ReadyReckoner!$A$52,0,2,1,G$262-1)),1)</f>
        <v>8.339</v>
      </c>
      <c r="H73" s="177">
        <f ca="1">Data!G$140*IF($F$1="Yes",PRODUCT(OFFSET(ReadyReckoner!$A$52,0,2,1,H$262-1)),1)</f>
        <v>8.72</v>
      </c>
      <c r="I73" s="177">
        <f ca="1">Data!H$140*IF($F$1="Yes",PRODUCT(OFFSET(ReadyReckoner!$A$52,0,2,1,I$262-1)),1)</f>
        <v>9.262</v>
      </c>
      <c r="J73" s="177">
        <f ca="1">Data!I$140*IF($F$1="Yes",PRODUCT(OFFSET(ReadyReckoner!$A$52,0,2,1,J$262-1)),1)</f>
        <v>9.886</v>
      </c>
      <c r="K73" s="303">
        <f>J$73*(K$84/J$84)*(1+Popn!K$201)</f>
        <v>10.572868814096024</v>
      </c>
      <c r="L73" s="303">
        <f>K$73*(L$84/K$84)*(1+Popn!L$201)</f>
        <v>11.28210068794213</v>
      </c>
      <c r="M73" s="303">
        <f>L$73*(M$84/L$84)*(1+Popn!M$201)</f>
        <v>12.00901258572301</v>
      </c>
      <c r="N73" s="303">
        <f>M$73*(N$84/M$84)*(1+Popn!N$201)</f>
        <v>12.775499456553119</v>
      </c>
      <c r="O73" s="303">
        <f>N$73*(O$84/N$84)*(1+Popn!O$201)</f>
        <v>13.577168710282734</v>
      </c>
      <c r="P73" s="303">
        <f>O$73*(P$84/O$84)*(1+Popn!P$201)</f>
        <v>14.43526036265516</v>
      </c>
      <c r="Q73" s="303">
        <f>P$73*(Q$84/P$84)*(1+Popn!Q$201)</f>
        <v>15.346168891741135</v>
      </c>
      <c r="R73" s="303">
        <f>Q$73*(R$84/Q$84)*(1+Popn!R$201)</f>
        <v>16.3997407365326</v>
      </c>
      <c r="S73" s="303">
        <f>R$73*(S$84/R$84)*(1+Popn!S$201)</f>
        <v>17.518547019363837</v>
      </c>
      <c r="T73" s="303">
        <f>S$73*(T$84/S$84)*(1+Popn!T$201)</f>
        <v>18.699347836146085</v>
      </c>
      <c r="U73" s="111"/>
    </row>
    <row r="74" spans="1:21" s="330" customFormat="1" ht="12.75">
      <c r="A74" s="302" t="s">
        <v>708</v>
      </c>
      <c r="B74" s="331"/>
      <c r="C74" s="111"/>
      <c r="D74" s="103">
        <f>Data!C$143</f>
        <v>0.613</v>
      </c>
      <c r="E74" s="103">
        <f>Data!D$143</f>
        <v>0.458</v>
      </c>
      <c r="F74" s="177">
        <f ca="1">Data!E$143*IF($F$1="Yes",PRODUCT(OFFSET(ReadyReckoner!$A$52,0,2,1,F$262-1))+OFFSET(ReadyReckoner!$A$49,0,F$262),1)</f>
        <v>0.487</v>
      </c>
      <c r="G74" s="177">
        <f ca="1">Data!F$143*IF($F$1="Yes",PRODUCT(OFFSET(ReadyReckoner!$A$52,0,2,1,G$262-1))+OFFSET(ReadyReckoner!$A$49,0,G$262),1)</f>
        <v>0.576</v>
      </c>
      <c r="H74" s="177">
        <f ca="1">Data!G$143*IF($F$1="Yes",PRODUCT(OFFSET(ReadyReckoner!$A$52,0,2,1,H$262-1))+OFFSET(ReadyReckoner!$A$49,0,H$262),1)</f>
        <v>0.583</v>
      </c>
      <c r="I74" s="177">
        <f ca="1">Data!H$143*IF($F$1="Yes",PRODUCT(OFFSET(ReadyReckoner!$A$52,0,2,1,I$262-1))+OFFSET(ReadyReckoner!$A$49,0,I$262),1)</f>
        <v>0.54</v>
      </c>
      <c r="J74" s="177">
        <f ca="1">Data!I$143*IF($F$1="Yes",PRODUCT(OFFSET(ReadyReckoner!$A$52,0,2,1,J$262-1))+OFFSET(ReadyReckoner!$A$49,0,J$262),1)</f>
        <v>0.523</v>
      </c>
      <c r="K74" s="303">
        <f aca="true" t="shared" si="38" ref="K74:T74">J$74*(K$86/J$86)*(1+K$215)</f>
        <v>0.5396461579688</v>
      </c>
      <c r="L74" s="303">
        <f t="shared" si="38"/>
        <v>0.5558336000581835</v>
      </c>
      <c r="M74" s="303">
        <f t="shared" si="38"/>
        <v>0.5722413024086345</v>
      </c>
      <c r="N74" s="303">
        <f t="shared" si="38"/>
        <v>0.5885942597044518</v>
      </c>
      <c r="O74" s="303">
        <f t="shared" si="38"/>
        <v>0.6045053155836141</v>
      </c>
      <c r="P74" s="303">
        <f t="shared" si="38"/>
        <v>0.6206750694624803</v>
      </c>
      <c r="Q74" s="303">
        <f t="shared" si="38"/>
        <v>0.6371340808441645</v>
      </c>
      <c r="R74" s="303">
        <f t="shared" si="38"/>
        <v>0.653835934722096</v>
      </c>
      <c r="S74" s="303">
        <f t="shared" si="38"/>
        <v>0.6709599911500564</v>
      </c>
      <c r="T74" s="303">
        <f t="shared" si="38"/>
        <v>0.6881929239560319</v>
      </c>
      <c r="U74" s="111"/>
    </row>
    <row r="75" spans="1:21" s="330" customFormat="1" ht="12.75">
      <c r="A75" s="302" t="s">
        <v>740</v>
      </c>
      <c r="B75" s="331"/>
      <c r="C75" s="111"/>
      <c r="D75" s="103">
        <f>SUM(Data!C$141,Data!C$144,Data!C$145)</f>
        <v>3.1729999999999996</v>
      </c>
      <c r="E75" s="103">
        <f>SUM(Data!D$141,Data!D$144,Data!D$145)</f>
        <v>3.276</v>
      </c>
      <c r="F75" s="177">
        <f ca="1">SUM(Data!E$141,Data!E$144,Data!E$145)*IF($F$1="Yes",PRODUCT(OFFSET(ReadyReckoner!$A$52,0,2,1,F$262-1)),1)</f>
        <v>3.344</v>
      </c>
      <c r="G75" s="177">
        <f ca="1">SUM(Data!F$141,Data!F$144,Data!F$145)*IF($F$1="Yes",PRODUCT(OFFSET(ReadyReckoner!$A$52,0,2,1,G$262-1)),1)</f>
        <v>3.4539999999999997</v>
      </c>
      <c r="H75" s="177">
        <f ca="1">SUM(Data!G$141,Data!G$144,Data!G$145)*IF($F$1="Yes",PRODUCT(OFFSET(ReadyReckoner!$A$52,0,2,1,H$262-1)),1)</f>
        <v>3.5239999999999996</v>
      </c>
      <c r="I75" s="177">
        <f ca="1">SUM(Data!H$141,Data!H$144,Data!H$145)*IF($F$1="Yes",PRODUCT(OFFSET(ReadyReckoner!$A$52,0,2,1,I$262-1)),1)</f>
        <v>3.6270000000000002</v>
      </c>
      <c r="J75" s="177">
        <f ca="1">SUM(Data!I$141,Data!I$144,Data!I$145)*IF($F$1="Yes",PRODUCT(OFFSET(ReadyReckoner!$A$52,0,2,1,J$262-1)),1)</f>
        <v>3.71</v>
      </c>
      <c r="K75" s="303">
        <f>J$75*(1+K$215)*(1+SUMPRODUCT(Popn!K$204:K$214,Tracks!$H$93:$H$103)+SUMPRODUCT(Popn!K$215:K$225,Tracks!$I$93:$I$103))</f>
        <v>3.810549124054757</v>
      </c>
      <c r="L75" s="303">
        <f>K$75*(1+L$215)*(1+SUMPRODUCT(Popn!L$204:L$214,Tracks!$H$93:$H$103)+SUMPRODUCT(Popn!L$215:L$225,Tracks!$I$93:$I$103))</f>
        <v>3.9053730936720847</v>
      </c>
      <c r="M75" s="303">
        <f>L$75*(1+M$215)*(1+SUMPRODUCT(Popn!M$204:M$214,Tracks!$H$93:$H$103)+SUMPRODUCT(Popn!M$215:M$225,Tracks!$I$93:$I$103))</f>
        <v>4.0021329024275945</v>
      </c>
      <c r="N75" s="303">
        <f>M$75*(1+N$215)*(1+SUMPRODUCT(Popn!N$204:N$214,Tracks!$H$93:$H$103)+SUMPRODUCT(Popn!N$215:N$225,Tracks!$I$93:$I$103))</f>
        <v>4.097784320143096</v>
      </c>
      <c r="O75" s="303">
        <f>N$75*(1+O$215)*(1+SUMPRODUCT(Popn!O$204:O$214,Tracks!$H$93:$H$103)+SUMPRODUCT(Popn!O$215:O$225,Tracks!$I$93:$I$103))</f>
        <v>4.1982448476342045</v>
      </c>
      <c r="P75" s="303">
        <f>O$75*(1+P$215)*(1+SUMPRODUCT(Popn!P$204:P$214,Tracks!$H$93:$H$103)+SUMPRODUCT(Popn!P$215:P$225,Tracks!$I$93:$I$103))</f>
        <v>4.2977219301528065</v>
      </c>
      <c r="Q75" s="303">
        <f>P$75*(1+Q$215)*(1+SUMPRODUCT(Popn!Q$204:Q$214,Tracks!$H$93:$H$103)+SUMPRODUCT(Popn!Q$215:Q$225,Tracks!$I$93:$I$103))</f>
        <v>4.3979891776119535</v>
      </c>
      <c r="R75" s="303">
        <f>Q$75*(1+R$215)*(1+SUMPRODUCT(Popn!R$204:R$214,Tracks!$H$93:$H$103)+SUMPRODUCT(Popn!R$215:R$225,Tracks!$I$93:$I$103))</f>
        <v>4.498691952879771</v>
      </c>
      <c r="S75" s="303">
        <f>R$75*(1+S$215)*(1+SUMPRODUCT(Popn!S$204:S$214,Tracks!$H$93:$H$103)+SUMPRODUCT(Popn!S$215:S$225,Tracks!$I$93:$I$103))</f>
        <v>4.6006421536679625</v>
      </c>
      <c r="T75" s="303">
        <f>S$75*(1+T$215)*(1+SUMPRODUCT(Popn!T$204:T$214,Tracks!$H$93:$H$103)+SUMPRODUCT(Popn!T$215:T$225,Tracks!$I$93:$I$103))</f>
        <v>4.7038946074415255</v>
      </c>
      <c r="U75" s="111"/>
    </row>
    <row r="76" spans="1:21" s="330" customFormat="1" ht="12.75">
      <c r="A76" s="344" t="s">
        <v>742</v>
      </c>
      <c r="B76" s="331"/>
      <c r="C76" s="111"/>
      <c r="D76" s="103">
        <f>Data!C$39-SUM(Data!C$140,Data!C$141,Data!C$143,Data!C$144,Data!C$145)</f>
        <v>6.172000000000002</v>
      </c>
      <c r="E76" s="103">
        <f>Data!D$39-SUM(Data!D$140,Data!D$141,Data!D$143,Data!D$144,Data!D$145)</f>
        <v>6.794999999999998</v>
      </c>
      <c r="F76" s="177">
        <f>Data!E$39-SUM(Data!E$140,Data!E$141,Data!E$143,Data!E$144,Data!E$145)</f>
        <v>7.539999999999999</v>
      </c>
      <c r="G76" s="177">
        <f>Data!F$39-SUM(Data!F$140,Data!F$141,Data!F$143,Data!F$144,Data!F$145)</f>
        <v>7.742999999999997</v>
      </c>
      <c r="H76" s="177">
        <f>Data!G$39-SUM(Data!G$140,Data!G$141,Data!G$143,Data!G$144,Data!G$145)</f>
        <v>7.953000000000001</v>
      </c>
      <c r="I76" s="177">
        <f>Data!H$39-SUM(Data!H$140,Data!H$141,Data!H$143,Data!H$144,Data!H$145)</f>
        <v>8.251000000000001</v>
      </c>
      <c r="J76" s="177">
        <f>Data!I$39-SUM(Data!I$140,Data!I$141,Data!I$143,Data!I$144,Data!I$145)</f>
        <v>8.410000000000002</v>
      </c>
      <c r="K76" s="303">
        <f>J$76*(1+K$215)*(1+AVERAGE(Popn!K$197,Popn!K$202))</f>
        <v>8.634357291377581</v>
      </c>
      <c r="L76" s="303">
        <f>K$76*(1+L$215)*(1+AVERAGE(Popn!L$197,Popn!L$202))</f>
        <v>8.845530246553578</v>
      </c>
      <c r="M76" s="303">
        <f>L$76*(1+M$215)*(1+AVERAGE(Popn!M$197,Popn!M$202))</f>
        <v>9.062362410466639</v>
      </c>
      <c r="N76" s="303">
        <f>M$76*(1+N$215)*(1+AVERAGE(Popn!N$197,Popn!N$202))</f>
        <v>9.289478019522264</v>
      </c>
      <c r="O76" s="303">
        <f>N$76*(1+O$215)*(1+AVERAGE(Popn!O$197,Popn!O$202))</f>
        <v>9.520362622124829</v>
      </c>
      <c r="P76" s="303">
        <f>O$76*(1+P$215)*(1+AVERAGE(Popn!P$197,Popn!P$202))</f>
        <v>9.759738454649852</v>
      </c>
      <c r="Q76" s="303">
        <f>P$76*(1+Q$215)*(1+AVERAGE(Popn!Q$197,Popn!Q$202))</f>
        <v>9.996781925614151</v>
      </c>
      <c r="R76" s="303">
        <f>Q$76*(1+R$215)*(1+AVERAGE(Popn!R$197,Popn!R$202))</f>
        <v>10.242615823800843</v>
      </c>
      <c r="S76" s="303">
        <f>R$76*(1+S$215)*(1+AVERAGE(Popn!S$197,Popn!S$202))</f>
        <v>10.50269587863896</v>
      </c>
      <c r="T76" s="303">
        <f>S$76*(1+T$215)*(1+AVERAGE(Popn!T$197,Popn!T$202))</f>
        <v>10.765997102601522</v>
      </c>
      <c r="U76" s="111"/>
    </row>
    <row r="77" spans="1:21" s="330" customFormat="1" ht="12.75">
      <c r="A77" s="382" t="s">
        <v>174</v>
      </c>
      <c r="B77" s="331"/>
      <c r="C77" s="111"/>
      <c r="D77" s="397">
        <f aca="true" t="shared" si="39" ref="D77:T77">SUM(D$73:D$76)</f>
        <v>16.768</v>
      </c>
      <c r="E77" s="397">
        <f t="shared" si="39"/>
        <v>17.877</v>
      </c>
      <c r="F77" s="393">
        <f t="shared" si="39"/>
        <v>19.156</v>
      </c>
      <c r="G77" s="393">
        <f t="shared" si="39"/>
        <v>20.111999999999995</v>
      </c>
      <c r="H77" s="393">
        <f t="shared" si="39"/>
        <v>20.78</v>
      </c>
      <c r="I77" s="393">
        <f t="shared" si="39"/>
        <v>21.68</v>
      </c>
      <c r="J77" s="393">
        <f t="shared" si="39"/>
        <v>22.529000000000003</v>
      </c>
      <c r="K77" s="398">
        <f t="shared" si="39"/>
        <v>23.557421387497165</v>
      </c>
      <c r="L77" s="398">
        <f t="shared" si="39"/>
        <v>24.588837628225974</v>
      </c>
      <c r="M77" s="398">
        <f t="shared" si="39"/>
        <v>25.64574920102588</v>
      </c>
      <c r="N77" s="398">
        <f t="shared" si="39"/>
        <v>26.75135605592293</v>
      </c>
      <c r="O77" s="398">
        <f t="shared" si="39"/>
        <v>27.900281495625382</v>
      </c>
      <c r="P77" s="398">
        <f t="shared" si="39"/>
        <v>29.1133958169203</v>
      </c>
      <c r="Q77" s="398">
        <f t="shared" si="39"/>
        <v>30.378074075811405</v>
      </c>
      <c r="R77" s="398">
        <f t="shared" si="39"/>
        <v>31.79488444793531</v>
      </c>
      <c r="S77" s="398">
        <f t="shared" si="39"/>
        <v>33.292845042820815</v>
      </c>
      <c r="T77" s="398">
        <f t="shared" si="39"/>
        <v>34.85743247014516</v>
      </c>
      <c r="U77" s="398"/>
    </row>
    <row r="78" spans="1:21" s="330" customFormat="1" ht="12.75">
      <c r="A78" s="302" t="s">
        <v>743</v>
      </c>
      <c r="B78" s="297"/>
      <c r="C78" s="111"/>
      <c r="D78" s="103">
        <f>Data!C$111</f>
        <v>3.665</v>
      </c>
      <c r="E78" s="103">
        <f>Data!D$111</f>
        <v>4.307</v>
      </c>
      <c r="F78" s="508">
        <f>Data!E$111</f>
        <v>4.942</v>
      </c>
      <c r="G78" s="508">
        <f>Data!F$111</f>
        <v>5.134</v>
      </c>
      <c r="H78" s="508">
        <f>Data!G$111</f>
        <v>5.473</v>
      </c>
      <c r="I78" s="508">
        <f>Data!H$111</f>
        <v>5.849</v>
      </c>
      <c r="J78" s="508">
        <f>Data!I$111</f>
        <v>6.218</v>
      </c>
      <c r="K78" s="111">
        <f aca="true" t="shared" si="40" ref="K78:T78">J$78+SUM(K$125-J$125,K$130,K$131)-SUM(J$125-I$125,J$130,J$131)</f>
        <v>6.491150448364342</v>
      </c>
      <c r="L78" s="111">
        <f t="shared" si="40"/>
        <v>6.754434037271716</v>
      </c>
      <c r="M78" s="111">
        <f t="shared" si="40"/>
        <v>7.053121964225197</v>
      </c>
      <c r="N78" s="111">
        <f t="shared" si="40"/>
        <v>7.392386821852616</v>
      </c>
      <c r="O78" s="111">
        <f t="shared" si="40"/>
        <v>7.738877022442779</v>
      </c>
      <c r="P78" s="111">
        <f t="shared" si="40"/>
        <v>8.092754819100652</v>
      </c>
      <c r="Q78" s="111">
        <f t="shared" si="40"/>
        <v>8.45485347819907</v>
      </c>
      <c r="R78" s="111">
        <f t="shared" si="40"/>
        <v>8.825087819656979</v>
      </c>
      <c r="S78" s="111">
        <f t="shared" si="40"/>
        <v>9.20748113461413</v>
      </c>
      <c r="T78" s="111">
        <f t="shared" si="40"/>
        <v>9.591121696167617</v>
      </c>
      <c r="U78" s="111"/>
    </row>
    <row r="79" spans="1:21" s="330" customFormat="1" ht="12.75">
      <c r="A79" s="389" t="s">
        <v>485</v>
      </c>
      <c r="B79" s="297"/>
      <c r="C79" s="111"/>
      <c r="D79" s="103">
        <f>Data!C$112</f>
        <v>0.604</v>
      </c>
      <c r="E79" s="103">
        <f>Data!D$112</f>
        <v>0.675</v>
      </c>
      <c r="F79" s="177">
        <f>Data!E$112</f>
        <v>0.716</v>
      </c>
      <c r="G79" s="177">
        <f>Data!F$112</f>
        <v>0.741</v>
      </c>
      <c r="H79" s="177">
        <f>Data!G$112</f>
        <v>0.78</v>
      </c>
      <c r="I79" s="177">
        <f>Data!H$112</f>
        <v>0.822</v>
      </c>
      <c r="J79" s="177">
        <f>Data!I$112</f>
        <v>0.861</v>
      </c>
      <c r="K79" s="111">
        <f aca="true" t="shared" si="41" ref="K79:S79">J$79*K$78/J$78</f>
        <v>0.898822858803747</v>
      </c>
      <c r="L79" s="111">
        <f t="shared" si="41"/>
        <v>0.935279463829358</v>
      </c>
      <c r="M79" s="111">
        <f t="shared" si="41"/>
        <v>0.9766384707619645</v>
      </c>
      <c r="N79" s="111">
        <f t="shared" si="41"/>
        <v>1.023616123128836</v>
      </c>
      <c r="O79" s="111">
        <f t="shared" si="41"/>
        <v>1.0715942612292106</v>
      </c>
      <c r="P79" s="111">
        <f t="shared" si="41"/>
        <v>1.1205953520819651</v>
      </c>
      <c r="Q79" s="111">
        <f t="shared" si="41"/>
        <v>1.1707347772160497</v>
      </c>
      <c r="R79" s="111">
        <f t="shared" si="41"/>
        <v>1.2220007418341359</v>
      </c>
      <c r="S79" s="111">
        <f t="shared" si="41"/>
        <v>1.2749503468804702</v>
      </c>
      <c r="T79" s="111">
        <f>S$79*T$78/S$78</f>
        <v>1.3280726568672108</v>
      </c>
      <c r="U79" s="111"/>
    </row>
    <row r="80" spans="1:21" s="330" customFormat="1" ht="12.75">
      <c r="A80" s="382" t="s">
        <v>131</v>
      </c>
      <c r="B80" s="331"/>
      <c r="C80" s="111"/>
      <c r="D80" s="397">
        <f aca="true" t="shared" si="42" ref="D80:T80">SUM(D$77,D$78,-D$79)</f>
        <v>19.829</v>
      </c>
      <c r="E80" s="397">
        <f t="shared" si="42"/>
        <v>21.508999999999997</v>
      </c>
      <c r="F80" s="393">
        <f t="shared" si="42"/>
        <v>23.381999999999998</v>
      </c>
      <c r="G80" s="393">
        <f t="shared" si="42"/>
        <v>24.504999999999995</v>
      </c>
      <c r="H80" s="393">
        <f t="shared" si="42"/>
        <v>25.473</v>
      </c>
      <c r="I80" s="393">
        <f t="shared" si="42"/>
        <v>26.707</v>
      </c>
      <c r="J80" s="393">
        <f t="shared" si="42"/>
        <v>27.886000000000003</v>
      </c>
      <c r="K80" s="398">
        <f t="shared" si="42"/>
        <v>29.14974897705776</v>
      </c>
      <c r="L80" s="398">
        <f t="shared" si="42"/>
        <v>30.407992201668332</v>
      </c>
      <c r="M80" s="398">
        <f t="shared" si="42"/>
        <v>31.72223269448911</v>
      </c>
      <c r="N80" s="398">
        <f t="shared" si="42"/>
        <v>33.120126754646705</v>
      </c>
      <c r="O80" s="398">
        <f t="shared" si="42"/>
        <v>34.56756425683895</v>
      </c>
      <c r="P80" s="398">
        <f t="shared" si="42"/>
        <v>36.08555528393899</v>
      </c>
      <c r="Q80" s="398">
        <f t="shared" si="42"/>
        <v>37.66219277679443</v>
      </c>
      <c r="R80" s="398">
        <f t="shared" si="42"/>
        <v>39.39797152575815</v>
      </c>
      <c r="S80" s="398">
        <f t="shared" si="42"/>
        <v>41.22537583055447</v>
      </c>
      <c r="T80" s="398">
        <f t="shared" si="42"/>
        <v>43.12048150944557</v>
      </c>
      <c r="U80" s="398"/>
    </row>
    <row r="81" spans="1:21" s="330" customFormat="1" ht="12.75">
      <c r="A81" s="394" t="s">
        <v>140</v>
      </c>
      <c r="C81" s="111"/>
      <c r="D81" s="103"/>
      <c r="E81" s="103"/>
      <c r="F81" s="177"/>
      <c r="G81" s="177"/>
      <c r="H81" s="177"/>
      <c r="I81" s="177"/>
      <c r="J81" s="177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</row>
    <row r="82" spans="1:21" ht="12.75">
      <c r="A82" s="50" t="s">
        <v>634</v>
      </c>
      <c r="C82" s="104"/>
      <c r="D82" s="248">
        <f>Data!C$214</f>
        <v>832.54</v>
      </c>
      <c r="E82" s="248">
        <f>Data!D$214</f>
        <v>861.55</v>
      </c>
      <c r="F82" s="241">
        <f ca="1">Data!E$214+IF($F$1="Yes",Data!D$214*(OFFSET(ReadyReckoner!$A$51,0,F$262)-OFFSET(ReadyReckoner!$A$28,0,F$262)),0)</f>
        <v>908.9250770826491</v>
      </c>
      <c r="G82" s="241">
        <f ca="1">Data!F$214+IF($F$1="Yes",Data!E$214*(OFFSET(ReadyReckoner!$A$51,0,G$262)-OFFSET(ReadyReckoner!$A$28,0,G$262)),0)</f>
        <v>947.2599128643457</v>
      </c>
      <c r="H82" s="241">
        <f ca="1">Data!G$214+IF($F$1="Yes",Data!F$214*(OFFSET(ReadyReckoner!$A$51,0,H$262)-OFFSET(ReadyReckoner!$A$28,0,H$262)),0)</f>
        <v>985.1477476961195</v>
      </c>
      <c r="I82" s="241">
        <f ca="1">Data!H$214+IF($F$1="Yes",Data!G$214*(OFFSET(ReadyReckoner!$A$51,0,I$262)-OFFSET(ReadyReckoner!$A$28,0,I$262)),0)</f>
        <v>1022.3524448314602</v>
      </c>
      <c r="J82" s="241">
        <f ca="1">Data!I$214+IF($F$1="Yes",Data!H$214*(OFFSET(ReadyReckoner!$A$51,0,J$262)-OFFSET(ReadyReckoner!$A$28,0,J$262)),0)</f>
        <v>1058.1710607234047</v>
      </c>
      <c r="K82" s="242">
        <f aca="true" t="shared" si="43" ref="K82:T82">J$82*(1+K$230)*(1+K$215)</f>
        <v>1097.8951087921337</v>
      </c>
      <c r="L82" s="242">
        <f t="shared" si="43"/>
        <v>1136.8816820587053</v>
      </c>
      <c r="M82" s="242">
        <f t="shared" si="43"/>
        <v>1177.0136054353777</v>
      </c>
      <c r="N82" s="242">
        <f t="shared" si="43"/>
        <v>1218.5621857072465</v>
      </c>
      <c r="O82" s="242">
        <f t="shared" si="43"/>
        <v>1261.5774308627122</v>
      </c>
      <c r="P82" s="242">
        <f t="shared" si="43"/>
        <v>1306.1111141721658</v>
      </c>
      <c r="Q82" s="242">
        <f t="shared" si="43"/>
        <v>1352.2168365024431</v>
      </c>
      <c r="R82" s="242">
        <f t="shared" si="43"/>
        <v>1399.9500908309792</v>
      </c>
      <c r="S82" s="242">
        <f t="shared" si="43"/>
        <v>1449.3683290373126</v>
      </c>
      <c r="T82" s="242">
        <f t="shared" si="43"/>
        <v>1500.5310310523296</v>
      </c>
      <c r="U82" s="242"/>
    </row>
    <row r="83" spans="1:21" ht="12.75">
      <c r="A83" s="50" t="s">
        <v>635</v>
      </c>
      <c r="C83" s="104"/>
      <c r="D83" s="248">
        <f>Data!C$214-Data!C$185</f>
        <v>186.7199999999999</v>
      </c>
      <c r="E83" s="248">
        <f>Data!D$214-Data!D$185</f>
        <v>197.52999999999997</v>
      </c>
      <c r="F83" s="241">
        <f ca="1">Data!E$214-Data!E$185+IF($F$1="Yes",(Data!D$214-Data!D$185)*(OFFSET(ReadyReckoner!$A$51,0,F$262)-OFFSET(ReadyReckoner!$A$28,0,F$262)),0)</f>
        <v>197.1550770826491</v>
      </c>
      <c r="G83" s="241">
        <f ca="1">Data!F$214-Data!F$185+IF($F$1="Yes",(Data!E$214-Data!E$185)*(OFFSET(ReadyReckoner!$A$51,0,G$262)-OFFSET(ReadyReckoner!$A$28,0,G$262)),0)</f>
        <v>204.8499128643457</v>
      </c>
      <c r="H83" s="241">
        <f ca="1">Data!G$214-Data!G$185+IF($F$1="Yes",(Data!F$214-Data!F$185)*(OFFSET(ReadyReckoner!$A$51,0,H$262)-OFFSET(ReadyReckoner!$A$28,0,H$262)),0)</f>
        <v>208.06774769611945</v>
      </c>
      <c r="I83" s="241">
        <f ca="1">Data!H$214-Data!H$185+IF($F$1="Yes",(Data!G$214-Data!G$185)*(OFFSET(ReadyReckoner!$A$51,0,I$262)-OFFSET(ReadyReckoner!$A$28,0,I$262)),0)</f>
        <v>220.8024448314602</v>
      </c>
      <c r="J83" s="241">
        <f ca="1">Data!I$214-Data!I$185+IF($F$1="Yes",(Data!H$214-Data!H$185)*(OFFSET(ReadyReckoner!$A$51,0,J$262)-OFFSET(ReadyReckoner!$A$28,0,J$262)),0)</f>
        <v>233.1810607234047</v>
      </c>
      <c r="K83" s="242">
        <f ca="1">J$83*(1+IF(AND(OFFSET(Scenarios!$A$24,0,$C$1)="YES",MID(OFFSET(Scenarios!$A$26,0,$C$1),6,2)&gt;=MID(K$3,4,2)),IF(OFFSET(Scenarios!$A$29,0,$C$1)="Inflation",1,OFFSET(Scenarios!$A$25,0,$C$1)),1)*K$230)*(1+IF(AND(OFFSET(Scenarios!$A$24,0,$C$1)="YES",MID(OFFSET(Scenarios!$A$26,0,$C$1),6,2)&gt;=MID(K$3,4,2)),IF(OFFSET(Scenarios!$A$29,0,$C$1)="Wage",1,OFFSET(Scenarios!$A$25,0,$C$1)),1)*K$215)</f>
        <v>245.47971676407892</v>
      </c>
      <c r="L83" s="242">
        <f ca="1">K$83*(1+IF(AND(OFFSET(Scenarios!$A$24,0,$C$1)="YES",MID(OFFSET(Scenarios!$A$26,0,$C$1),6,2)&gt;=MID(L$3,4,2)),IF(OFFSET(Scenarios!$A$29,0,$C$1)="Inflation",1,OFFSET(Scenarios!$A$25,0,$C$1)),1)*L$230)*(1+IF(AND(OFFSET(Scenarios!$A$24,0,$C$1)="YES",MID(OFFSET(Scenarios!$A$26,0,$C$1),6,2)&gt;=MID(L$3,4,2)),IF(OFFSET(Scenarios!$A$29,0,$C$1)="Wage",1,OFFSET(Scenarios!$A$25,0,$C$1)),1)*L$215)</f>
        <v>257.7252627390835</v>
      </c>
      <c r="M83" s="242">
        <f ca="1">L$83*(1+IF(AND(OFFSET(Scenarios!$A$24,0,$C$1)="YES",MID(OFFSET(Scenarios!$A$26,0,$C$1),6,2)&gt;=MID(M$3,4,2)),IF(OFFSET(Scenarios!$A$29,0,$C$1)="Inflation",1,OFFSET(Scenarios!$A$25,0,$C$1)),1)*M$230)*(1+IF(AND(OFFSET(Scenarios!$A$24,0,$C$1)="YES",MID(OFFSET(Scenarios!$A$26,0,$C$1),6,2)&gt;=MID(M$3,4,2)),IF(OFFSET(Scenarios!$A$29,0,$C$1)="Wage",1,OFFSET(Scenarios!$A$25,0,$C$1)),1)*M$215)</f>
        <v>270.5053430677892</v>
      </c>
      <c r="N83" s="242">
        <f ca="1">M$83*(1+IF(AND(OFFSET(Scenarios!$A$24,0,$C$1)="YES",MID(OFFSET(Scenarios!$A$26,0,$C$1),6,2)&gt;=MID(N$3,4,2)),IF(OFFSET(Scenarios!$A$29,0,$C$1)="Inflation",1,OFFSET(Scenarios!$A$25,0,$C$1)),1)*N$230)*(1+IF(AND(OFFSET(Scenarios!$A$24,0,$C$1)="YES",MID(OFFSET(Scenarios!$A$26,0,$C$1),6,2)&gt;=MID(N$3,4,2)),IF(OFFSET(Scenarios!$A$29,0,$C$1)="Wage",1,OFFSET(Scenarios!$A$25,0,$C$1)),1)*N$215)</f>
        <v>283.91916201983474</v>
      </c>
      <c r="O83" s="242">
        <f ca="1">N$83*(1+IF(AND(OFFSET(Scenarios!$A$24,0,$C$1)="YES",MID(OFFSET(Scenarios!$A$26,0,$C$1),6,2)&gt;=MID(O$3,4,2)),IF(OFFSET(Scenarios!$A$29,0,$C$1)="Inflation",1,OFFSET(Scenarios!$A$25,0,$C$1)),1)*O$230)*(1+IF(AND(OFFSET(Scenarios!$A$24,0,$C$1)="YES",MID(OFFSET(Scenarios!$A$26,0,$C$1),6,2)&gt;=MID(O$3,4,2)),IF(OFFSET(Scenarios!$A$29,0,$C$1)="Wage",1,OFFSET(Scenarios!$A$25,0,$C$1)),1)*O$215)</f>
        <v>297.9981454260743</v>
      </c>
      <c r="P83" s="242">
        <f ca="1">O$83*(1+IF(AND(OFFSET(Scenarios!$A$24,0,$C$1)="YES",MID(OFFSET(Scenarios!$A$26,0,$C$1),6,2)&gt;=MID(P$3,4,2)),IF(OFFSET(Scenarios!$A$29,0,$C$1)="Inflation",1,OFFSET(Scenarios!$A$25,0,$C$1)),1)*P$230)*(1+IF(AND(OFFSET(Scenarios!$A$24,0,$C$1)="YES",MID(OFFSET(Scenarios!$A$26,0,$C$1),6,2)&gt;=MID(P$3,4,2)),IF(OFFSET(Scenarios!$A$29,0,$C$1)="Wage",1,OFFSET(Scenarios!$A$25,0,$C$1)),1)*P$215)</f>
        <v>312.77527746146245</v>
      </c>
      <c r="Q83" s="242">
        <f ca="1">P$83*(1+IF(AND(OFFSET(Scenarios!$A$24,0,$C$1)="YES",MID(OFFSET(Scenarios!$A$26,0,$C$1),6,2)&gt;=MID(Q$3,4,2)),IF(OFFSET(Scenarios!$A$29,0,$C$1)="Inflation",1,OFFSET(Scenarios!$A$25,0,$C$1)),1)*Q$230)*(1+IF(AND(OFFSET(Scenarios!$A$24,0,$C$1)="YES",MID(OFFSET(Scenarios!$A$26,0,$C$1),6,2)&gt;=MID(Q$3,4,2)),IF(OFFSET(Scenarios!$A$29,0,$C$1)="Wage",1,OFFSET(Scenarios!$A$25,0,$C$1)),1)*Q$215)</f>
        <v>328.28517792022143</v>
      </c>
      <c r="R83" s="242">
        <f ca="1">Q$83*(1+IF(AND(OFFSET(Scenarios!$A$24,0,$C$1)="YES",MID(OFFSET(Scenarios!$A$26,0,$C$1),6,2)&gt;=MID(R$3,4,2)),IF(OFFSET(Scenarios!$A$29,0,$C$1)="Inflation",1,OFFSET(Scenarios!$A$25,0,$C$1)),1)*R$230)*(1+IF(AND(OFFSET(Scenarios!$A$24,0,$C$1)="YES",MID(OFFSET(Scenarios!$A$26,0,$C$1),6,2)&gt;=MID(R$3,4,2)),IF(OFFSET(Scenarios!$A$29,0,$C$1)="Wage",1,OFFSET(Scenarios!$A$25,0,$C$1)),1)*R$215)</f>
        <v>339.87364470080524</v>
      </c>
      <c r="S83" s="242">
        <f ca="1">R$83*(1+IF(AND(OFFSET(Scenarios!$A$24,0,$C$1)="YES",MID(OFFSET(Scenarios!$A$26,0,$C$1),6,2)&gt;=MID(S$3,4,2)),IF(OFFSET(Scenarios!$A$29,0,$C$1)="Inflation",1,OFFSET(Scenarios!$A$25,0,$C$1)),1)*S$230)*(1+IF(AND(OFFSET(Scenarios!$A$24,0,$C$1)="YES",MID(OFFSET(Scenarios!$A$26,0,$C$1),6,2)&gt;=MID(S$3,4,2)),IF(OFFSET(Scenarios!$A$29,0,$C$1)="Wage",1,OFFSET(Scenarios!$A$25,0,$C$1)),1)*S$215)</f>
        <v>351.8711843587436</v>
      </c>
      <c r="T83" s="242">
        <f ca="1">S$83*(1+IF(AND(OFFSET(Scenarios!$A$24,0,$C$1)="YES",MID(OFFSET(Scenarios!$A$26,0,$C$1),6,2)&gt;=MID(T$3,4,2)),IF(OFFSET(Scenarios!$A$29,0,$C$1)="Inflation",1,OFFSET(Scenarios!$A$25,0,$C$1)),1)*T$230)*(1+IF(AND(OFFSET(Scenarios!$A$24,0,$C$1)="YES",MID(OFFSET(Scenarios!$A$26,0,$C$1),6,2)&gt;=MID(T$3,4,2)),IF(OFFSET(Scenarios!$A$29,0,$C$1)="Wage",1,OFFSET(Scenarios!$A$25,0,$C$1)),1)*T$215)</f>
        <v>364.29223716660726</v>
      </c>
      <c r="U83" s="242"/>
    </row>
    <row r="84" spans="1:21" ht="12.75">
      <c r="A84" s="50" t="s">
        <v>574</v>
      </c>
      <c r="B84" s="66"/>
      <c r="C84" s="104"/>
      <c r="D84" s="248">
        <f>Data!C$186</f>
        <v>213.12</v>
      </c>
      <c r="E84" s="248">
        <f>Data!D$186</f>
        <v>219.9</v>
      </c>
      <c r="F84" s="241">
        <f ca="1">Data!E$186+IF($F$1="Yes",Data!D$186*(OFFSET(ReadyReckoner!$A$51,0,F$262)-OFFSET(ReadyReckoner!$A$28,0,F$262)),0)</f>
        <v>241.62</v>
      </c>
      <c r="G84" s="241">
        <f ca="1">Data!F$186+IF($F$1="Yes",Data!E$186*(OFFSET(ReadyReckoner!$A$51,0,G$262)-OFFSET(ReadyReckoner!$A$28,0,G$262)),0)</f>
        <v>247.66</v>
      </c>
      <c r="H84" s="241">
        <f ca="1">Data!G$186+IF($F$1="Yes",Data!F$186*(OFFSET(ReadyReckoner!$A$51,0,H$262)-OFFSET(ReadyReckoner!$A$28,0,H$262)),0)</f>
        <v>253.48</v>
      </c>
      <c r="I84" s="241">
        <f ca="1">Data!H$186+IF($F$1="Yes",Data!G$186*(OFFSET(ReadyReckoner!$A$51,0,I$262)-OFFSET(ReadyReckoner!$A$28,0,I$262)),0)</f>
        <v>260.5</v>
      </c>
      <c r="J84" s="241">
        <f ca="1">Data!I$186+IF($F$1="Yes",Data!H$186*(OFFSET(ReadyReckoner!$A$51,0,J$262)-OFFSET(ReadyReckoner!$A$28,0,J$262)),0)</f>
        <v>268.12</v>
      </c>
      <c r="K84" s="242">
        <f ca="1">IF(OFFSET(Scenarios!$A$39,0,$C$1)="Yes",IF((2*J$84*(1+K$215))/(K$82-K$83)&gt;OFFSET(Scenarios!$A$40,0,$C$1),J$84*(1+K$215),0.5*(K$82-K$83)*OFFSET(Scenarios!$A$40,0,$C$1)),J$84*(1+K$215))</f>
        <v>277.0350024091178</v>
      </c>
      <c r="L84" s="242">
        <f ca="1">IF(OFFSET(Scenarios!$A$39,0,$C$1)="Yes",IF((2*K$84*(1+L$215))/(L$82-L$83)&gt;OFFSET(Scenarios!$A$40,0,$C$1),K$84*(1+L$215),0.5*(L$82-L$83)*OFFSET(Scenarios!$A$40,0,$C$1)),K$84*(1+L$215))</f>
        <v>285.7258362788771</v>
      </c>
      <c r="M84" s="242">
        <f ca="1">IF(OFFSET(Scenarios!$A$39,0,$C$1)="Yes",IF((2*L$84*(1+M$215))/(M$82-M$83)&gt;OFFSET(Scenarios!$A$40,0,$C$1),L$84*(1+M$215),0.5*(M$82-M$83)*OFFSET(Scenarios!$A$40,0,$C$1)),L$84*(1+M$215))</f>
        <v>294.6151852694663</v>
      </c>
      <c r="N84" s="242">
        <f ca="1">IF(OFFSET(Scenarios!$A$39,0,$C$1)="Yes",IF((2*M$84*(1+N$215))/(N$82-N$83)&gt;OFFSET(Scenarios!$A$40,0,$C$1),M$84*(1+N$215),0.5*(N$82-N$83)*OFFSET(Scenarios!$A$40,0,$C$1)),M$84*(1+N$215))</f>
        <v>303.75898269840883</v>
      </c>
      <c r="O84" s="242">
        <f ca="1">IF(OFFSET(Scenarios!$A$39,0,$C$1)="Yes",IF((2*N$84*(1+O$215))/(O$82-O$83)&gt;OFFSET(Scenarios!$A$40,0,$C$1),N$84*(1+O$215),0.5*(O$82-O$83)*OFFSET(Scenarios!$A$40,0,$C$1)),N$84*(1+O$215))</f>
        <v>313.1632677669073</v>
      </c>
      <c r="P84" s="242">
        <f ca="1">IF(OFFSET(Scenarios!$A$39,0,$C$1)="Yes",IF((2*O$84*(1+P$215))/(P$82-P$83)&gt;OFFSET(Scenarios!$A$40,0,$C$1),O$84*(1+P$215),0.5*(P$82-P$83)*OFFSET(Scenarios!$A$40,0,$C$1)),O$84*(1+P$215))</f>
        <v>322.8341469309786</v>
      </c>
      <c r="Q84" s="242">
        <f ca="1">IF(OFFSET(Scenarios!$A$39,0,$C$1)="Yes",IF((2*P$84*(1+Q$215))/(Q$82-Q$83)&gt;OFFSET(Scenarios!$A$40,0,$C$1),P$84*(1+Q$215),0.5*(Q$82-Q$83)*OFFSET(Scenarios!$A$40,0,$C$1)),P$84*(1+Q$215))</f>
        <v>332.77778903922206</v>
      </c>
      <c r="R84" s="242">
        <f ca="1">IF(OFFSET(Scenarios!$A$39,0,$C$1)="Yes",IF((2*Q$84*(1+R$215))/(R$82-R$83)&gt;OFFSET(Scenarios!$A$40,0,$C$1),Q$84*(1+R$215),0.5*(R$82-R$83)*OFFSET(Scenarios!$A$40,0,$C$1)),Q$84*(1+R$215))</f>
        <v>344.52484499230656</v>
      </c>
      <c r="S84" s="242">
        <f ca="1">IF(OFFSET(Scenarios!$A$39,0,$C$1)="Yes",IF((2*R$84*(1+S$215))/(S$82-S$83)&gt;OFFSET(Scenarios!$A$40,0,$C$1),R$84*(1+S$215),0.5*(S$82-S$83)*OFFSET(Scenarios!$A$40,0,$C$1)),R$84*(1+S$215))</f>
        <v>356.6865720205349</v>
      </c>
      <c r="T84" s="242">
        <f ca="1">IF(OFFSET(Scenarios!$A$39,0,$C$1)="Yes",IF((2*S$84*(1+T$215))/(T$82-T$83)&gt;OFFSET(Scenarios!$A$40,0,$C$1),S$84*(1+T$215),0.5*(T$82-T$83)*OFFSET(Scenarios!$A$40,0,$C$1)),S$84*(1+T$215))</f>
        <v>369.2776080128598</v>
      </c>
      <c r="U84" s="242"/>
    </row>
    <row r="85" spans="1:20" ht="12.75">
      <c r="A85" s="50" t="s">
        <v>650</v>
      </c>
      <c r="B85" s="66"/>
      <c r="C85" s="104"/>
      <c r="D85" s="99">
        <f>Data!C$187</f>
        <v>1.268</v>
      </c>
      <c r="E85" s="99">
        <f>Data!D$187</f>
        <v>1.383</v>
      </c>
      <c r="F85" s="170">
        <f>Data!E$187</f>
        <v>1.292393</v>
      </c>
      <c r="G85" s="170">
        <f>Data!F$187</f>
        <v>1.321248</v>
      </c>
      <c r="H85" s="170">
        <f>Data!G$187</f>
        <v>1.332607</v>
      </c>
      <c r="I85" s="170">
        <f>Data!H$187</f>
        <v>1.399088</v>
      </c>
      <c r="J85" s="170">
        <f>Data!I$187</f>
        <v>1.495938</v>
      </c>
      <c r="K85" s="104">
        <f aca="true" t="shared" si="44" ref="K85:S85">J$85*K$73/J$73</f>
        <v>1.5998741885516061</v>
      </c>
      <c r="L85" s="104">
        <f t="shared" si="44"/>
        <v>1.7071943292452734</v>
      </c>
      <c r="M85" s="104">
        <f t="shared" si="44"/>
        <v>1.8171897905584975</v>
      </c>
      <c r="N85" s="104">
        <f t="shared" si="44"/>
        <v>1.9331736906774386</v>
      </c>
      <c r="O85" s="104">
        <f t="shared" si="44"/>
        <v>2.0544813479792565</v>
      </c>
      <c r="P85" s="104">
        <f t="shared" si="44"/>
        <v>2.1843267768955728</v>
      </c>
      <c r="Q85" s="104">
        <f t="shared" si="44"/>
        <v>2.322164394049509</v>
      </c>
      <c r="R85" s="104">
        <f t="shared" si="44"/>
        <v>2.4815896578926866</v>
      </c>
      <c r="S85" s="104">
        <f t="shared" si="44"/>
        <v>2.65088612088338</v>
      </c>
      <c r="T85" s="104">
        <f>S$85*T$73/S$73</f>
        <v>2.829563524510287</v>
      </c>
    </row>
    <row r="86" spans="1:20" ht="12.75">
      <c r="A86" s="150" t="s">
        <v>141</v>
      </c>
      <c r="B86" s="58"/>
      <c r="C86" s="104"/>
      <c r="D86" s="99">
        <f>Data!C$184</f>
        <v>52</v>
      </c>
      <c r="E86" s="99">
        <f>Data!D$184</f>
        <v>37</v>
      </c>
      <c r="F86" s="170">
        <f ca="1">Data!E$184*(1+IF($F$1="Yes",OFFSET(ReadyReckoner!$A$49,0,F$262),0))</f>
        <v>39</v>
      </c>
      <c r="G86" s="170">
        <f ca="1">Data!F$184*(1+IF($F$1="Yes",OFFSET(ReadyReckoner!$A$49,0,G$262),0))</f>
        <v>45</v>
      </c>
      <c r="H86" s="170">
        <f ca="1">Data!G$184*(1+IF($F$1="Yes",OFFSET(ReadyReckoner!$A$49,0,H$262),0))</f>
        <v>45</v>
      </c>
      <c r="I86" s="170">
        <f ca="1">Data!H$184*(1+IF($F$1="Yes",OFFSET(ReadyReckoner!$A$49,0,I$262),0))</f>
        <v>40</v>
      </c>
      <c r="J86" s="170">
        <f ca="1">Data!I$184*(1+IF($F$1="Yes",OFFSET(ReadyReckoner!$A$49,0,J$262),0))</f>
        <v>38</v>
      </c>
      <c r="K86" s="104">
        <f aca="true" t="shared" si="45" ref="K86:T86">J$86*(K$222*K$225)/(J$222*J$225)</f>
        <v>38.357656819444536</v>
      </c>
      <c r="L86" s="104">
        <f t="shared" si="45"/>
        <v>38.725710957363</v>
      </c>
      <c r="M86" s="104">
        <f t="shared" si="45"/>
        <v>39.087116396377745</v>
      </c>
      <c r="N86" s="104">
        <f t="shared" si="45"/>
        <v>39.41579423882124</v>
      </c>
      <c r="O86" s="104">
        <f t="shared" si="45"/>
        <v>39.68754290657761</v>
      </c>
      <c r="P86" s="104">
        <f t="shared" si="45"/>
        <v>39.950131927055644</v>
      </c>
      <c r="Q86" s="104">
        <f t="shared" si="45"/>
        <v>40.20541794128987</v>
      </c>
      <c r="R86" s="104">
        <f t="shared" si="45"/>
        <v>40.45035695842629</v>
      </c>
      <c r="S86" s="104">
        <f t="shared" si="45"/>
        <v>40.69584076385932</v>
      </c>
      <c r="T86" s="104">
        <f t="shared" si="45"/>
        <v>40.922620116940365</v>
      </c>
    </row>
    <row r="87" spans="1:21" ht="12.75">
      <c r="A87" s="47"/>
      <c r="B87" s="62"/>
      <c r="C87" s="104"/>
      <c r="D87" s="99"/>
      <c r="E87" s="99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1:21" ht="12.75">
      <c r="A88" s="150" t="s">
        <v>142</v>
      </c>
      <c r="B88" s="108"/>
      <c r="C88" s="104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</row>
    <row r="89" spans="1:21" ht="12.75">
      <c r="A89" s="46" t="s">
        <v>586</v>
      </c>
      <c r="B89" s="108"/>
      <c r="C89" s="104"/>
      <c r="D89" s="101">
        <f ca="1">Data!C$41+IF(OFFSET(Scenarios!$A$61,0,$C$1)="Yes",OFFSET(Scenarios!$A$62,0,$C$1)*D$70,0)</f>
        <v>10.355</v>
      </c>
      <c r="E89" s="101">
        <f ca="1">Data!D$41+IF(OFFSET(Scenarios!$A$61,0,$C$1)="Yes",OFFSET(Scenarios!$A$62,0,$C$1)*E$70,0)</f>
        <v>11.297</v>
      </c>
      <c r="F89" s="174">
        <f ca="1">Data!E$41+IF(OFFSET(Scenarios!$A$61,0,$C$1)="Yes",OFFSET(Scenarios!$A$62,0,$C$1)*(F$70+IF($I$1="Yes",F$267,0)),0)+IF($F$1="Yes",Data!D$41*OFFSET(ReadyReckoner!$A$54,0,F$262),0)</f>
        <v>12.377</v>
      </c>
      <c r="G89" s="174">
        <f ca="1">Data!F$41+IF(OFFSET(Scenarios!$A$61,0,$C$1)="Yes",OFFSET(Scenarios!$A$62,0,$C$1)*(G$70+IF($I$1="Yes",G$267,0)),0)+IF($F$1="Yes",Data!E$41*OFFSET(ReadyReckoner!$A$54,0,G$262),0)</f>
        <v>12.424</v>
      </c>
      <c r="H89" s="174">
        <f ca="1">Data!G$41+IF(OFFSET(Scenarios!$A$61,0,$C$1)="Yes",OFFSET(Scenarios!$A$62,0,$C$1)*(H$70+IF($I$1="Yes",H$267,0)),0)+IF($F$1="Yes",Data!F$41*OFFSET(ReadyReckoner!$A$54,0,H$262),0)</f>
        <v>12.401</v>
      </c>
      <c r="I89" s="174">
        <f ca="1">Data!H$41+IF(OFFSET(Scenarios!$A$61,0,$C$1)="Yes",OFFSET(Scenarios!$A$62,0,$C$1)*(I$70+IF($I$1="Yes",I$267,0)),0)+IF($F$1="Yes",Data!G$41*OFFSET(ReadyReckoner!$A$54,0,I$262),0)</f>
        <v>12.39</v>
      </c>
      <c r="J89" s="174">
        <f ca="1">Data!I$41+IF(OFFSET(Scenarios!$A$61,0,$C$1)="Yes",OFFSET(Scenarios!$A$62,0,$C$1)*(J$70+IF($I$1="Yes",J$267,0)),0)+IF($F$1="Yes",Data!H$41*OFFSET(ReadyReckoner!$A$54,0,J$262),0)</f>
        <v>12.391</v>
      </c>
      <c r="K89" s="148">
        <f ca="1">J$89*SUM(K$91,K$92)/SUM(J$91,J$92)+IF(OFFSET(Scenarios!$A$61,0,$C$1)="Yes",(K$70-J$70*SUM(K$91,K$92)/SUM(J$91,J$92))*OFFSET(Scenarios!$A$62,0,$C$1),0)</f>
        <v>12.591704541599775</v>
      </c>
      <c r="L89" s="148">
        <f ca="1">K$89*SUM(L$91,L$92)/SUM(K$91,K$92)+IF(OFFSET(Scenarios!$A$61,0,$C$1)="Yes",(L$70-K$70*SUM(L$91,L$92)/SUM(K$91,K$92))*OFFSET(Scenarios!$A$62,0,$C$1),0)</f>
        <v>12.801888237543613</v>
      </c>
      <c r="M89" s="148">
        <f ca="1">L$89*SUM(M$91,M$92)/SUM(L$91,L$92)+IF(OFFSET(Scenarios!$A$61,0,$C$1)="Yes",(M$70-L$70*SUM(M$91,M$92)/SUM(L$91,L$92))*OFFSET(Scenarios!$A$62,0,$C$1),0)</f>
        <v>13.020715494710924</v>
      </c>
      <c r="N89" s="148">
        <f ca="1">M$89*SUM(N$91,N$92)/SUM(M$91,M$92)+IF(OFFSET(Scenarios!$A$61,0,$C$1)="Yes",(N$70-M$70*SUM(N$91,N$92)/SUM(M$91,M$92))*OFFSET(Scenarios!$A$62,0,$C$1),0)</f>
        <v>13.247696579252032</v>
      </c>
      <c r="O89" s="148">
        <f ca="1">N$89*SUM(O$91,O$92)/SUM(N$91,N$92)+IF(OFFSET(Scenarios!$A$61,0,$C$1)="Yes",(O$70-N$70*SUM(O$91,O$92)/SUM(N$91,N$92))*OFFSET(Scenarios!$A$62,0,$C$1),0)</f>
        <v>13.466532592682084</v>
      </c>
      <c r="P89" s="148">
        <f ca="1">O$89*SUM(P$91,P$92)/SUM(O$91,O$92)+IF(OFFSET(Scenarios!$A$61,0,$C$1)="Yes",(P$70-O$70*SUM(P$91,P$92)/SUM(O$91,O$92))*OFFSET(Scenarios!$A$62,0,$C$1),0)</f>
        <v>13.692029520183318</v>
      </c>
      <c r="Q89" s="148">
        <f ca="1">P$89*SUM(Q$91,Q$92)/SUM(P$91,P$92)+IF(OFFSET(Scenarios!$A$61,0,$C$1)="Yes",(Q$70-P$70*SUM(Q$91,Q$92)/SUM(P$91,P$92))*OFFSET(Scenarios!$A$62,0,$C$1),0)</f>
        <v>13.926131670029601</v>
      </c>
      <c r="R89" s="148">
        <f ca="1">Q$89*SUM(R$91,R$92)/SUM(Q$91,Q$92)+IF(OFFSET(Scenarios!$A$61,0,$C$1)="Yes",(R$70-Q$70*SUM(R$91,R$92)/SUM(Q$91,Q$92))*OFFSET(Scenarios!$A$62,0,$C$1),0)</f>
        <v>14.172551711766722</v>
      </c>
      <c r="S89" s="148">
        <f ca="1">R$89*SUM(S$91,S$92)/SUM(R$91,R$92)+IF(OFFSET(Scenarios!$A$61,0,$C$1)="Yes",(S$70-R$70*SUM(S$91,S$92)/SUM(R$91,R$92))*OFFSET(Scenarios!$A$62,0,$C$1),0)</f>
        <v>14.434223853320164</v>
      </c>
      <c r="T89" s="148">
        <f ca="1">S$89*SUM(T$91,T$92)/SUM(S$91,S$92)+IF(OFFSET(Scenarios!$A$61,0,$C$1)="Yes",(T$70-S$70*SUM(T$91,T$92)/SUM(S$91,S$92))*OFFSET(Scenarios!$A$62,0,$C$1),0)</f>
        <v>14.6820985874846</v>
      </c>
      <c r="U89" s="106"/>
    </row>
    <row r="90" spans="1:21" ht="12.75">
      <c r="A90" s="46" t="s">
        <v>587</v>
      </c>
      <c r="B90" s="108"/>
      <c r="C90" s="104"/>
      <c r="D90" s="101">
        <f>Data!C$16-Data!C$41+D$89</f>
        <v>10.661</v>
      </c>
      <c r="E90" s="101">
        <f>Data!D$16-Data!D$41+E$89</f>
        <v>10.809</v>
      </c>
      <c r="F90" s="174">
        <f>Data!E$16-Data!E$41+F$89</f>
        <v>11.884</v>
      </c>
      <c r="G90" s="174">
        <f>Data!F$16-Data!F$41+G$89</f>
        <v>11.874</v>
      </c>
      <c r="H90" s="174">
        <f>Data!G$16-Data!G$41+H$89</f>
        <v>11.864</v>
      </c>
      <c r="I90" s="174">
        <f>Data!H$16-Data!H$41+I$89</f>
        <v>11.861</v>
      </c>
      <c r="J90" s="174">
        <f>Data!I$16-Data!I$41+J$89</f>
        <v>11.917</v>
      </c>
      <c r="K90" s="106">
        <f aca="true" t="shared" si="46" ref="K90:T90">(J$90-J$89)*SUM(K$91,K$92)/SUM(J$91,J$92)+K$89</f>
        <v>12.110026876139498</v>
      </c>
      <c r="L90" s="106">
        <f t="shared" si="46"/>
        <v>12.312170295118008</v>
      </c>
      <c r="M90" s="106">
        <f t="shared" si="46"/>
        <v>12.522626628235823</v>
      </c>
      <c r="N90" s="106">
        <f t="shared" si="46"/>
        <v>12.740924875711926</v>
      </c>
      <c r="O90" s="106">
        <f t="shared" si="46"/>
        <v>12.95138963013416</v>
      </c>
      <c r="P90" s="106">
        <f t="shared" si="46"/>
        <v>13.168260494877298</v>
      </c>
      <c r="Q90" s="106">
        <f t="shared" si="46"/>
        <v>13.39340740148033</v>
      </c>
      <c r="R90" s="106">
        <f t="shared" si="46"/>
        <v>13.630400996620454</v>
      </c>
      <c r="S90" s="106">
        <f t="shared" si="46"/>
        <v>13.882063244291535</v>
      </c>
      <c r="T90" s="106">
        <f t="shared" si="46"/>
        <v>14.120455884678718</v>
      </c>
      <c r="U90" s="106"/>
    </row>
    <row r="91" spans="1:20" ht="12.75">
      <c r="A91" s="150" t="s">
        <v>403</v>
      </c>
      <c r="B91" s="108"/>
      <c r="C91" s="104"/>
      <c r="D91" s="99">
        <f>SUM(SUM(Popn!D$9:D$13)*Tracks!$M$52,SUM(Popn!D$14:D$18)*Tracks!$M$53,SUM(Popn!D$19:D$23)*Tracks!$M$54,SUM(Popn!D$24:D$28)*Tracks!$M$55,SUM(Popn!D$29:D$33)*Tracks!$M$56,SUM(Popn!D$34:D$38)*Tracks!$M$57,SUM(Popn!D$39:D$43)*Tracks!$M$58,SUM(Popn!D$44:D$48)*Tracks!$M$59,SUM(Popn!D$49:D$53)*Tracks!$M$60,SUM(Popn!D$54:D$58)*Tracks!$M$61,SUM(Popn!D$59:D$63)*Tracks!$M$62,SUM(Popn!D$64:D$68)*Tracks!$M$63,SUM(Popn!D$69:D$73)*Tracks!$M$64,SUM(Popn!D$74:D$78)*Tracks!$M$65,SUM(Popn!D$79:D$83)*Tracks!$M$66,SUM(Popn!D$84:D$88)*Tracks!$M$67,SUM(Popn!D$89:D$93)*Tracks!$M$68,SUM(Popn!D$94:D$99)*Tracks!$M$69)/1000000000</f>
        <v>4.304868445912294</v>
      </c>
      <c r="E91" s="99">
        <f>SUM(SUM(Popn!E$9:E$13)*Tracks!$M$52,SUM(Popn!E$14:E$18)*Tracks!$M$53,SUM(Popn!E$19:E$23)*Tracks!$M$54,SUM(Popn!E$24:E$28)*Tracks!$M$55,SUM(Popn!E$29:E$33)*Tracks!$M$56,SUM(Popn!E$34:E$38)*Tracks!$M$57,SUM(Popn!E$39:E$43)*Tracks!$M$58,SUM(Popn!E$44:E$48)*Tracks!$M$59,SUM(Popn!E$49:E$53)*Tracks!$M$60,SUM(Popn!E$54:E$58)*Tracks!$M$61,SUM(Popn!E$59:E$63)*Tracks!$M$62,SUM(Popn!E$64:E$68)*Tracks!$M$63,SUM(Popn!E$69:E$73)*Tracks!$M$64,SUM(Popn!E$74:E$78)*Tracks!$M$65,SUM(Popn!E$79:E$83)*Tracks!$M$66,SUM(Popn!E$84:E$88)*Tracks!$M$67,SUM(Popn!E$89:E$93)*Tracks!$M$68,SUM(Popn!E$94:E$99)*Tracks!$M$69)/1000000000</f>
        <v>4.389188046636971</v>
      </c>
      <c r="F91" s="170">
        <f>SUM(SUM(Popn!F$9:F$13)*Tracks!$M$52,SUM(Popn!F$14:F$18)*Tracks!$M$53,SUM(Popn!F$19:F$23)*Tracks!$M$54,SUM(Popn!F$24:F$28)*Tracks!$M$55,SUM(Popn!F$29:F$33)*Tracks!$M$56,SUM(Popn!F$34:F$38)*Tracks!$M$57,SUM(Popn!F$39:F$43)*Tracks!$M$58,SUM(Popn!F$44:F$48)*Tracks!$M$59,SUM(Popn!F$49:F$53)*Tracks!$M$60,SUM(Popn!F$54:F$58)*Tracks!$M$61,SUM(Popn!F$59:F$63)*Tracks!$M$62,SUM(Popn!F$64:F$68)*Tracks!$M$63,SUM(Popn!F$69:F$73)*Tracks!$M$64,SUM(Popn!F$74:F$78)*Tracks!$M$65,SUM(Popn!F$79:F$83)*Tracks!$M$66,SUM(Popn!F$84:F$88)*Tracks!$M$67,SUM(Popn!F$89:F$93)*Tracks!$M$68,SUM(Popn!F$94:F$99)*Tracks!$M$69)/1000000000</f>
        <v>4.474355683719251</v>
      </c>
      <c r="G91" s="170">
        <f>SUM(SUM(Popn!G$9:G$13)*Tracks!$M$52,SUM(Popn!G$14:G$18)*Tracks!$M$53,SUM(Popn!G$19:G$23)*Tracks!$M$54,SUM(Popn!G$24:G$28)*Tracks!$M$55,SUM(Popn!G$29:G$33)*Tracks!$M$56,SUM(Popn!G$34:G$38)*Tracks!$M$57,SUM(Popn!G$39:G$43)*Tracks!$M$58,SUM(Popn!G$44:G$48)*Tracks!$M$59,SUM(Popn!G$49:G$53)*Tracks!$M$60,SUM(Popn!G$54:G$58)*Tracks!$M$61,SUM(Popn!G$59:G$63)*Tracks!$M$62,SUM(Popn!G$64:G$68)*Tracks!$M$63,SUM(Popn!G$69:G$73)*Tracks!$M$64,SUM(Popn!G$74:G$78)*Tracks!$M$65,SUM(Popn!G$79:G$83)*Tracks!$M$66,SUM(Popn!G$84:G$88)*Tracks!$M$67,SUM(Popn!G$89:G$93)*Tracks!$M$68,SUM(Popn!G$94:G$99)*Tracks!$M$69)/1000000000</f>
        <v>4.561984197269113</v>
      </c>
      <c r="H91" s="170">
        <f>SUM(SUM(Popn!H$9:H$13)*Tracks!$M$52,SUM(Popn!H$14:H$18)*Tracks!$M$53,SUM(Popn!H$19:H$23)*Tracks!$M$54,SUM(Popn!H$24:H$28)*Tracks!$M$55,SUM(Popn!H$29:H$33)*Tracks!$M$56,SUM(Popn!H$34:H$38)*Tracks!$M$57,SUM(Popn!H$39:H$43)*Tracks!$M$58,SUM(Popn!H$44:H$48)*Tracks!$M$59,SUM(Popn!H$49:H$53)*Tracks!$M$60,SUM(Popn!H$54:H$58)*Tracks!$M$61,SUM(Popn!H$59:H$63)*Tracks!$M$62,SUM(Popn!H$64:H$68)*Tracks!$M$63,SUM(Popn!H$69:H$73)*Tracks!$M$64,SUM(Popn!H$74:H$78)*Tracks!$M$65,SUM(Popn!H$79:H$83)*Tracks!$M$66,SUM(Popn!H$84:H$88)*Tracks!$M$67,SUM(Popn!H$89:H$93)*Tracks!$M$68,SUM(Popn!H$94:H$99)*Tracks!$M$69)/1000000000</f>
        <v>4.6501545240352264</v>
      </c>
      <c r="I91" s="170">
        <f>SUM(SUM(Popn!I$9:I$13)*Tracks!$M$52,SUM(Popn!I$14:I$18)*Tracks!$M$53,SUM(Popn!I$19:I$23)*Tracks!$M$54,SUM(Popn!I$24:I$28)*Tracks!$M$55,SUM(Popn!I$29:I$33)*Tracks!$M$56,SUM(Popn!I$34:I$38)*Tracks!$M$57,SUM(Popn!I$39:I$43)*Tracks!$M$58,SUM(Popn!I$44:I$48)*Tracks!$M$59,SUM(Popn!I$49:I$53)*Tracks!$M$60,SUM(Popn!I$54:I$58)*Tracks!$M$61,SUM(Popn!I$59:I$63)*Tracks!$M$62,SUM(Popn!I$64:I$68)*Tracks!$M$63,SUM(Popn!I$69:I$73)*Tracks!$M$64,SUM(Popn!I$74:I$78)*Tracks!$M$65,SUM(Popn!I$79:I$83)*Tracks!$M$66,SUM(Popn!I$84:I$88)*Tracks!$M$67,SUM(Popn!I$89:I$93)*Tracks!$M$68,SUM(Popn!I$94:I$99)*Tracks!$M$69)/1000000000</f>
        <v>4.737123916952433</v>
      </c>
      <c r="J91" s="170">
        <f>SUM(SUM(Popn!J$9:J$13)*Tracks!$M$52,SUM(Popn!J$14:J$18)*Tracks!$M$53,SUM(Popn!J$19:J$23)*Tracks!$M$54,SUM(Popn!J$24:J$28)*Tracks!$M$55,SUM(Popn!J$29:J$33)*Tracks!$M$56,SUM(Popn!J$34:J$38)*Tracks!$M$57,SUM(Popn!J$39:J$43)*Tracks!$M$58,SUM(Popn!J$44:J$48)*Tracks!$M$59,SUM(Popn!J$49:J$53)*Tracks!$M$60,SUM(Popn!J$54:J$58)*Tracks!$M$61,SUM(Popn!J$59:J$63)*Tracks!$M$62,SUM(Popn!J$64:J$68)*Tracks!$M$63,SUM(Popn!J$69:J$73)*Tracks!$M$64,SUM(Popn!J$74:J$78)*Tracks!$M$65,SUM(Popn!J$79:J$83)*Tracks!$M$66,SUM(Popn!J$84:J$88)*Tracks!$M$67,SUM(Popn!J$89:J$93)*Tracks!$M$68,SUM(Popn!J$94:J$99)*Tracks!$M$69)/1000000000</f>
        <v>4.819665630243673</v>
      </c>
      <c r="K91" s="104">
        <f>SUM(SUM(Popn!K$9:K$13)*Tracks!$M$52,SUM(Popn!K$14:K$18)*Tracks!$M$53,SUM(Popn!K$19:K$23)*Tracks!$M$54,SUM(Popn!K$24:K$28)*Tracks!$M$55,SUM(Popn!K$29:K$33)*Tracks!$M$56,SUM(Popn!K$34:K$38)*Tracks!$M$57,SUM(Popn!K$39:K$43)*Tracks!$M$58,SUM(Popn!K$44:K$48)*Tracks!$M$59,SUM(Popn!K$49:K$53)*Tracks!$M$60,SUM(Popn!K$54:K$58)*Tracks!$M$61,SUM(Popn!K$59:K$63)*Tracks!$M$62,SUM(Popn!K$64:K$68)*Tracks!$M$63,SUM(Popn!K$69:K$73)*Tracks!$M$64,SUM(Popn!K$74:K$78)*Tracks!$M$65,SUM(Popn!K$79:K$83)*Tracks!$M$66,SUM(Popn!K$84:K$88)*Tracks!$M$67,SUM(Popn!K$89:K$93)*Tracks!$M$68,SUM(Popn!K$94:K$99)*Tracks!$M$69)/1000000000</f>
        <v>4.904332160675337</v>
      </c>
      <c r="L91" s="104">
        <f>SUM(SUM(Popn!L$9:L$13)*Tracks!$M$52,SUM(Popn!L$14:L$18)*Tracks!$M$53,SUM(Popn!L$19:L$23)*Tracks!$M$54,SUM(Popn!L$24:L$28)*Tracks!$M$55,SUM(Popn!L$29:L$33)*Tracks!$M$56,SUM(Popn!L$34:L$38)*Tracks!$M$57,SUM(Popn!L$39:L$43)*Tracks!$M$58,SUM(Popn!L$44:L$48)*Tracks!$M$59,SUM(Popn!L$49:L$53)*Tracks!$M$60,SUM(Popn!L$54:L$58)*Tracks!$M$61,SUM(Popn!L$59:L$63)*Tracks!$M$62,SUM(Popn!L$64:L$68)*Tracks!$M$63,SUM(Popn!L$69:L$73)*Tracks!$M$64,SUM(Popn!L$74:L$78)*Tracks!$M$65,SUM(Popn!L$79:L$83)*Tracks!$M$66,SUM(Popn!L$84:L$88)*Tracks!$M$67,SUM(Popn!L$89:L$93)*Tracks!$M$68,SUM(Popn!L$94:L$99)*Tracks!$M$69)/1000000000</f>
        <v>4.991614610763482</v>
      </c>
      <c r="M91" s="104">
        <f>SUM(SUM(Popn!M$9:M$13)*Tracks!$M$52,SUM(Popn!M$14:M$18)*Tracks!$M$53,SUM(Popn!M$19:M$23)*Tracks!$M$54,SUM(Popn!M$24:M$28)*Tracks!$M$55,SUM(Popn!M$29:M$33)*Tracks!$M$56,SUM(Popn!M$34:M$38)*Tracks!$M$57,SUM(Popn!M$39:M$43)*Tracks!$M$58,SUM(Popn!M$44:M$48)*Tracks!$M$59,SUM(Popn!M$49:M$53)*Tracks!$M$60,SUM(Popn!M$54:M$58)*Tracks!$M$61,SUM(Popn!M$59:M$63)*Tracks!$M$62,SUM(Popn!M$64:M$68)*Tracks!$M$63,SUM(Popn!M$69:M$73)*Tracks!$M$64,SUM(Popn!M$74:M$78)*Tracks!$M$65,SUM(Popn!M$79:M$83)*Tracks!$M$66,SUM(Popn!M$84:M$88)*Tracks!$M$67,SUM(Popn!M$89:M$93)*Tracks!$M$68,SUM(Popn!M$94:M$99)*Tracks!$M$69)/1000000000</f>
        <v>5.081834522910167</v>
      </c>
      <c r="N91" s="104">
        <f>SUM(SUM(Popn!N$9:N$13)*Tracks!$M$52,SUM(Popn!N$14:N$18)*Tracks!$M$53,SUM(Popn!N$19:N$23)*Tracks!$M$54,SUM(Popn!N$24:N$28)*Tracks!$M$55,SUM(Popn!N$29:N$33)*Tracks!$M$56,SUM(Popn!N$34:N$38)*Tracks!$M$57,SUM(Popn!N$39:N$43)*Tracks!$M$58,SUM(Popn!N$44:N$48)*Tracks!$M$59,SUM(Popn!N$49:N$53)*Tracks!$M$60,SUM(Popn!N$54:N$58)*Tracks!$M$61,SUM(Popn!N$59:N$63)*Tracks!$M$62,SUM(Popn!N$64:N$68)*Tracks!$M$63,SUM(Popn!N$69:N$73)*Tracks!$M$64,SUM(Popn!N$74:N$78)*Tracks!$M$65,SUM(Popn!N$79:N$83)*Tracks!$M$66,SUM(Popn!N$84:N$88)*Tracks!$M$67,SUM(Popn!N$89:N$93)*Tracks!$M$68,SUM(Popn!N$94:N$99)*Tracks!$M$69)/1000000000</f>
        <v>5.176188249343485</v>
      </c>
      <c r="O91" s="104">
        <f>SUM(SUM(Popn!O$9:O$13)*Tracks!$M$52,SUM(Popn!O$14:O$18)*Tracks!$M$53,SUM(Popn!O$19:O$23)*Tracks!$M$54,SUM(Popn!O$24:O$28)*Tracks!$M$55,SUM(Popn!O$29:O$33)*Tracks!$M$56,SUM(Popn!O$34:O$38)*Tracks!$M$57,SUM(Popn!O$39:O$43)*Tracks!$M$58,SUM(Popn!O$44:O$48)*Tracks!$M$59,SUM(Popn!O$49:O$53)*Tracks!$M$60,SUM(Popn!O$54:O$58)*Tracks!$M$61,SUM(Popn!O$59:O$63)*Tracks!$M$62,SUM(Popn!O$64:O$68)*Tracks!$M$63,SUM(Popn!O$69:O$73)*Tracks!$M$64,SUM(Popn!O$74:O$78)*Tracks!$M$65,SUM(Popn!O$79:O$83)*Tracks!$M$66,SUM(Popn!O$84:O$88)*Tracks!$M$67,SUM(Popn!O$89:O$93)*Tracks!$M$68,SUM(Popn!O$94:O$99)*Tracks!$M$69)/1000000000</f>
        <v>5.266062238350092</v>
      </c>
      <c r="P91" s="104">
        <f>SUM(SUM(Popn!P$9:P$13)*Tracks!$M$52,SUM(Popn!P$14:P$18)*Tracks!$M$53,SUM(Popn!P$19:P$23)*Tracks!$M$54,SUM(Popn!P$24:P$28)*Tracks!$M$55,SUM(Popn!P$29:P$33)*Tracks!$M$56,SUM(Popn!P$34:P$38)*Tracks!$M$57,SUM(Popn!P$39:P$43)*Tracks!$M$58,SUM(Popn!P$44:P$48)*Tracks!$M$59,SUM(Popn!P$49:P$53)*Tracks!$M$60,SUM(Popn!P$54:P$58)*Tracks!$M$61,SUM(Popn!P$59:P$63)*Tracks!$M$62,SUM(Popn!P$64:P$68)*Tracks!$M$63,SUM(Popn!P$69:P$73)*Tracks!$M$64,SUM(Popn!P$74:P$78)*Tracks!$M$65,SUM(Popn!P$79:P$83)*Tracks!$M$66,SUM(Popn!P$84:P$88)*Tracks!$M$67,SUM(Popn!P$89:P$93)*Tracks!$M$68,SUM(Popn!P$94:P$99)*Tracks!$M$69)/1000000000</f>
        <v>5.358524685383355</v>
      </c>
      <c r="Q91" s="104">
        <f>SUM(SUM(Popn!Q$9:Q$13)*Tracks!$M$52,SUM(Popn!Q$14:Q$18)*Tracks!$M$53,SUM(Popn!Q$19:Q$23)*Tracks!$M$54,SUM(Popn!Q$24:Q$28)*Tracks!$M$55,SUM(Popn!Q$29:Q$33)*Tracks!$M$56,SUM(Popn!Q$34:Q$38)*Tracks!$M$57,SUM(Popn!Q$39:Q$43)*Tracks!$M$58,SUM(Popn!Q$44:Q$48)*Tracks!$M$59,SUM(Popn!Q$49:Q$53)*Tracks!$M$60,SUM(Popn!Q$54:Q$58)*Tracks!$M$61,SUM(Popn!Q$59:Q$63)*Tracks!$M$62,SUM(Popn!Q$64:Q$68)*Tracks!$M$63,SUM(Popn!Q$69:Q$73)*Tracks!$M$64,SUM(Popn!Q$74:Q$78)*Tracks!$M$65,SUM(Popn!Q$79:Q$83)*Tracks!$M$66,SUM(Popn!Q$84:Q$88)*Tracks!$M$67,SUM(Popn!Q$89:Q$93)*Tracks!$M$68,SUM(Popn!Q$94:Q$99)*Tracks!$M$69)/1000000000</f>
        <v>5.453917926304425</v>
      </c>
      <c r="R91" s="104">
        <f>SUM(SUM(Popn!R$9:R$13)*Tracks!$M$52,SUM(Popn!R$14:R$18)*Tracks!$M$53,SUM(Popn!R$19:R$23)*Tracks!$M$54,SUM(Popn!R$24:R$28)*Tracks!$M$55,SUM(Popn!R$29:R$33)*Tracks!$M$56,SUM(Popn!R$34:R$38)*Tracks!$M$57,SUM(Popn!R$39:R$43)*Tracks!$M$58,SUM(Popn!R$44:R$48)*Tracks!$M$59,SUM(Popn!R$49:R$53)*Tracks!$M$60,SUM(Popn!R$54:R$58)*Tracks!$M$61,SUM(Popn!R$59:R$63)*Tracks!$M$62,SUM(Popn!R$64:R$68)*Tracks!$M$63,SUM(Popn!R$69:R$73)*Tracks!$M$64,SUM(Popn!R$74:R$78)*Tracks!$M$65,SUM(Popn!R$79:R$83)*Tracks!$M$66,SUM(Popn!R$84:R$88)*Tracks!$M$67,SUM(Popn!R$89:R$93)*Tracks!$M$68,SUM(Popn!R$94:R$99)*Tracks!$M$69)/1000000000</f>
        <v>5.552170555836199</v>
      </c>
      <c r="S91" s="104">
        <f>SUM(SUM(Popn!S$9:S$13)*Tracks!$M$52,SUM(Popn!S$14:S$18)*Tracks!$M$53,SUM(Popn!S$19:S$23)*Tracks!$M$54,SUM(Popn!S$24:S$28)*Tracks!$M$55,SUM(Popn!S$29:S$33)*Tracks!$M$56,SUM(Popn!S$34:S$38)*Tracks!$M$57,SUM(Popn!S$39:S$43)*Tracks!$M$58,SUM(Popn!S$44:S$48)*Tracks!$M$59,SUM(Popn!S$49:S$53)*Tracks!$M$60,SUM(Popn!S$54:S$58)*Tracks!$M$61,SUM(Popn!S$59:S$63)*Tracks!$M$62,SUM(Popn!S$64:S$68)*Tracks!$M$63,SUM(Popn!S$69:S$73)*Tracks!$M$64,SUM(Popn!S$74:S$78)*Tracks!$M$65,SUM(Popn!S$79:S$83)*Tracks!$M$66,SUM(Popn!S$84:S$88)*Tracks!$M$67,SUM(Popn!S$89:S$93)*Tracks!$M$68,SUM(Popn!S$94:S$99)*Tracks!$M$69)/1000000000</f>
        <v>5.65576830880267</v>
      </c>
      <c r="T91" s="104">
        <f>SUM(SUM(Popn!T$9:T$13)*Tracks!$M$52,SUM(Popn!T$14:T$18)*Tracks!$M$53,SUM(Popn!T$19:T$23)*Tracks!$M$54,SUM(Popn!T$24:T$28)*Tracks!$M$55,SUM(Popn!T$29:T$33)*Tracks!$M$56,SUM(Popn!T$34:T$38)*Tracks!$M$57,SUM(Popn!T$39:T$43)*Tracks!$M$58,SUM(Popn!T$44:T$48)*Tracks!$M$59,SUM(Popn!T$49:T$53)*Tracks!$M$60,SUM(Popn!T$54:T$58)*Tracks!$M$61,SUM(Popn!T$59:T$63)*Tracks!$M$62,SUM(Popn!T$64:T$68)*Tracks!$M$63,SUM(Popn!T$69:T$73)*Tracks!$M$64,SUM(Popn!T$74:T$78)*Tracks!$M$65,SUM(Popn!T$79:T$83)*Tracks!$M$66,SUM(Popn!T$84:T$88)*Tracks!$M$67,SUM(Popn!T$89:T$93)*Tracks!$M$68,SUM(Popn!T$94:T$99)*Tracks!$M$69)/1000000000</f>
        <v>5.753763601744691</v>
      </c>
    </row>
    <row r="92" spans="1:21" ht="12.75">
      <c r="A92" s="150" t="s">
        <v>404</v>
      </c>
      <c r="B92" s="108"/>
      <c r="C92" s="104"/>
      <c r="D92" s="99">
        <f>SUM(SUM(Popn!D$103:D$107)*Tracks!$L$52,SUM(Popn!D$108:D$112)*Tracks!$L$53,SUM(Popn!D$113:D$117)*Tracks!$L$54,SUM(Popn!D$118:D$122)*Tracks!$L$55,SUM(Popn!D$123:D$127)*Tracks!$L$56,SUM(Popn!D$128:D$132)*Tracks!$L$57,SUM(Popn!D$133:D$137)*Tracks!$L$58,SUM(Popn!D$138:D$142)*Tracks!$L$59,SUM(Popn!D$143:D$147)*Tracks!$L$60,SUM(Popn!D$148:D$152)*Tracks!$L$61,SUM(Popn!D$153:D$157)*Tracks!$L$62,SUM(Popn!D$158:D$162)*Tracks!$L$63,SUM(Popn!D$163:D$167)*Tracks!$L$64,SUM(Popn!D$168:D$172)*Tracks!$L$65,SUM(Popn!D$173:D$177)*Tracks!$L$66,SUM(Popn!D$178:D$182)*Tracks!$L$67,SUM(Popn!D$183:D$187)*Tracks!$L$68,SUM(Popn!D$188:D$193)*Tracks!$L$69)/1000000000</f>
        <v>5.025776039521337</v>
      </c>
      <c r="E92" s="99">
        <f>SUM(SUM(Popn!E$103:E$107)*Tracks!$L$52,SUM(Popn!E$108:E$112)*Tracks!$L$53,SUM(Popn!E$113:E$117)*Tracks!$L$54,SUM(Popn!E$118:E$122)*Tracks!$L$55,SUM(Popn!E$123:E$127)*Tracks!$L$56,SUM(Popn!E$128:E$132)*Tracks!$L$57,SUM(Popn!E$133:E$137)*Tracks!$L$58,SUM(Popn!E$138:E$142)*Tracks!$L$59,SUM(Popn!E$143:E$147)*Tracks!$L$60,SUM(Popn!E$148:E$152)*Tracks!$L$61,SUM(Popn!E$153:E$157)*Tracks!$L$62,SUM(Popn!E$158:E$162)*Tracks!$L$63,SUM(Popn!E$163:E$167)*Tracks!$L$64,SUM(Popn!E$168:E$172)*Tracks!$L$65,SUM(Popn!E$173:E$177)*Tracks!$L$66,SUM(Popn!E$178:E$182)*Tracks!$L$67,SUM(Popn!E$183:E$187)*Tracks!$L$68,SUM(Popn!E$188:E$193)*Tracks!$L$69)/1000000000</f>
        <v>5.10162470786928</v>
      </c>
      <c r="F92" s="170">
        <f>SUM(SUM(Popn!F$103:F$107)*Tracks!$L$52,SUM(Popn!F$108:F$112)*Tracks!$L$53,SUM(Popn!F$113:F$117)*Tracks!$L$54,SUM(Popn!F$118:F$122)*Tracks!$L$55,SUM(Popn!F$123:F$127)*Tracks!$L$56,SUM(Popn!F$128:F$132)*Tracks!$L$57,SUM(Popn!F$133:F$137)*Tracks!$L$58,SUM(Popn!F$138:F$142)*Tracks!$L$59,SUM(Popn!F$143:F$147)*Tracks!$L$60,SUM(Popn!F$148:F$152)*Tracks!$L$61,SUM(Popn!F$153:F$157)*Tracks!$L$62,SUM(Popn!F$158:F$162)*Tracks!$L$63,SUM(Popn!F$163:F$167)*Tracks!$L$64,SUM(Popn!F$168:F$172)*Tracks!$L$65,SUM(Popn!F$173:F$177)*Tracks!$L$66,SUM(Popn!F$178:F$182)*Tracks!$L$67,SUM(Popn!F$183:F$187)*Tracks!$L$68,SUM(Popn!F$188:F$193)*Tracks!$L$69)/1000000000</f>
        <v>5.179340694711305</v>
      </c>
      <c r="G92" s="170">
        <f>SUM(SUM(Popn!G$103:G$107)*Tracks!$L$52,SUM(Popn!G$108:G$112)*Tracks!$L$53,SUM(Popn!G$113:G$117)*Tracks!$L$54,SUM(Popn!G$118:G$122)*Tracks!$L$55,SUM(Popn!G$123:G$127)*Tracks!$L$56,SUM(Popn!G$128:G$132)*Tracks!$L$57,SUM(Popn!G$133:G$137)*Tracks!$L$58,SUM(Popn!G$138:G$142)*Tracks!$L$59,SUM(Popn!G$143:G$147)*Tracks!$L$60,SUM(Popn!G$148:G$152)*Tracks!$L$61,SUM(Popn!G$153:G$157)*Tracks!$L$62,SUM(Popn!G$158:G$162)*Tracks!$L$63,SUM(Popn!G$163:G$167)*Tracks!$L$64,SUM(Popn!G$168:G$172)*Tracks!$L$65,SUM(Popn!G$173:G$177)*Tracks!$L$66,SUM(Popn!G$178:G$182)*Tracks!$L$67,SUM(Popn!G$183:G$187)*Tracks!$L$68,SUM(Popn!G$188:G$193)*Tracks!$L$69)/1000000000</f>
        <v>5.262754018400344</v>
      </c>
      <c r="H92" s="170">
        <f>SUM(SUM(Popn!H$103:H$107)*Tracks!$L$52,SUM(Popn!H$108:H$112)*Tracks!$L$53,SUM(Popn!H$113:H$117)*Tracks!$L$54,SUM(Popn!H$118:H$122)*Tracks!$L$55,SUM(Popn!H$123:H$127)*Tracks!$L$56,SUM(Popn!H$128:H$132)*Tracks!$L$57,SUM(Popn!H$133:H$137)*Tracks!$L$58,SUM(Popn!H$138:H$142)*Tracks!$L$59,SUM(Popn!H$143:H$147)*Tracks!$L$60,SUM(Popn!H$148:H$152)*Tracks!$L$61,SUM(Popn!H$153:H$157)*Tracks!$L$62,SUM(Popn!H$158:H$162)*Tracks!$L$63,SUM(Popn!H$163:H$167)*Tracks!$L$64,SUM(Popn!H$168:H$172)*Tracks!$L$65,SUM(Popn!H$173:H$177)*Tracks!$L$66,SUM(Popn!H$178:H$182)*Tracks!$L$67,SUM(Popn!H$183:H$187)*Tracks!$L$68,SUM(Popn!H$188:H$193)*Tracks!$L$69)/1000000000</f>
        <v>5.346709763980142</v>
      </c>
      <c r="I92" s="170">
        <f>SUM(SUM(Popn!I$103:I$107)*Tracks!$L$52,SUM(Popn!I$108:I$112)*Tracks!$L$53,SUM(Popn!I$113:I$117)*Tracks!$L$54,SUM(Popn!I$118:I$122)*Tracks!$L$55,SUM(Popn!I$123:I$127)*Tracks!$L$56,SUM(Popn!I$128:I$132)*Tracks!$L$57,SUM(Popn!I$133:I$137)*Tracks!$L$58,SUM(Popn!I$138:I$142)*Tracks!$L$59,SUM(Popn!I$143:I$147)*Tracks!$L$60,SUM(Popn!I$148:I$152)*Tracks!$L$61,SUM(Popn!I$153:I$157)*Tracks!$L$62,SUM(Popn!I$158:I$162)*Tracks!$L$63,SUM(Popn!I$163:I$167)*Tracks!$L$64,SUM(Popn!I$168:I$172)*Tracks!$L$65,SUM(Popn!I$173:I$177)*Tracks!$L$66,SUM(Popn!I$178:I$182)*Tracks!$L$67,SUM(Popn!I$183:I$187)*Tracks!$L$68,SUM(Popn!I$188:I$193)*Tracks!$L$69)/1000000000</f>
        <v>5.429425033988031</v>
      </c>
      <c r="J92" s="170">
        <f>SUM(SUM(Popn!J$103:J$107)*Tracks!$L$52,SUM(Popn!J$108:J$112)*Tracks!$L$53,SUM(Popn!J$113:J$117)*Tracks!$L$54,SUM(Popn!J$118:J$122)*Tracks!$L$55,SUM(Popn!J$123:J$127)*Tracks!$L$56,SUM(Popn!J$128:J$132)*Tracks!$L$57,SUM(Popn!J$133:J$137)*Tracks!$L$58,SUM(Popn!J$138:J$142)*Tracks!$L$59,SUM(Popn!J$143:J$147)*Tracks!$L$60,SUM(Popn!J$148:J$152)*Tracks!$L$61,SUM(Popn!J$153:J$157)*Tracks!$L$62,SUM(Popn!J$158:J$162)*Tracks!$L$63,SUM(Popn!J$163:J$167)*Tracks!$L$64,SUM(Popn!J$168:J$172)*Tracks!$L$65,SUM(Popn!J$173:J$177)*Tracks!$L$66,SUM(Popn!J$178:J$182)*Tracks!$L$67,SUM(Popn!J$183:J$187)*Tracks!$L$68,SUM(Popn!J$188:J$193)*Tracks!$L$69)/1000000000</f>
        <v>5.510783330020507</v>
      </c>
      <c r="K92" s="104">
        <f>SUM(SUM(Popn!K$103:K$107)*Tracks!$L$52,SUM(Popn!K$108:K$112)*Tracks!$L$53,SUM(Popn!K$113:K$117)*Tracks!$L$54,SUM(Popn!K$118:K$122)*Tracks!$L$55,SUM(Popn!K$123:K$127)*Tracks!$L$56,SUM(Popn!K$128:K$132)*Tracks!$L$57,SUM(Popn!K$133:K$137)*Tracks!$L$58,SUM(Popn!K$138:K$142)*Tracks!$L$59,SUM(Popn!K$143:K$147)*Tracks!$L$60,SUM(Popn!K$148:K$152)*Tracks!$L$61,SUM(Popn!K$153:K$157)*Tracks!$L$62,SUM(Popn!K$158:K$162)*Tracks!$L$63,SUM(Popn!K$163:K$167)*Tracks!$L$64,SUM(Popn!K$168:K$172)*Tracks!$L$65,SUM(Popn!K$173:K$177)*Tracks!$L$66,SUM(Popn!K$178:K$182)*Tracks!$L$67,SUM(Popn!K$183:K$187)*Tracks!$L$68,SUM(Popn!K$188:K$193)*Tracks!$L$69)/1000000000</f>
        <v>5.593445346363898</v>
      </c>
      <c r="L92" s="104">
        <f>SUM(SUM(Popn!L$103:L$107)*Tracks!$L$52,SUM(Popn!L$108:L$112)*Tracks!$L$53,SUM(Popn!L$113:L$117)*Tracks!$L$54,SUM(Popn!L$118:L$122)*Tracks!$L$55,SUM(Popn!L$123:L$127)*Tracks!$L$56,SUM(Popn!L$128:L$132)*Tracks!$L$57,SUM(Popn!L$133:L$137)*Tracks!$L$58,SUM(Popn!L$138:L$142)*Tracks!$L$59,SUM(Popn!L$143:L$147)*Tracks!$L$60,SUM(Popn!L$148:L$152)*Tracks!$L$61,SUM(Popn!L$153:L$157)*Tracks!$L$62,SUM(Popn!L$158:L$162)*Tracks!$L$63,SUM(Popn!L$163:L$167)*Tracks!$L$64,SUM(Popn!L$168:L$172)*Tracks!$L$65,SUM(Popn!L$173:L$177)*Tracks!$L$66,SUM(Popn!L$178:L$182)*Tracks!$L$67,SUM(Popn!L$183:L$187)*Tracks!$L$68,SUM(Popn!L$188:L$193)*Tracks!$L$69)/1000000000</f>
        <v>5.681394269306786</v>
      </c>
      <c r="M92" s="104">
        <f>SUM(SUM(Popn!M$103:M$107)*Tracks!$L$52,SUM(Popn!M$108:M$112)*Tracks!$L$53,SUM(Popn!M$113:M$117)*Tracks!$L$54,SUM(Popn!M$118:M$122)*Tracks!$L$55,SUM(Popn!M$123:M$127)*Tracks!$L$56,SUM(Popn!M$128:M$132)*Tracks!$L$57,SUM(Popn!M$133:M$137)*Tracks!$L$58,SUM(Popn!M$138:M$142)*Tracks!$L$59,SUM(Popn!M$143:M$147)*Tracks!$L$60,SUM(Popn!M$148:M$152)*Tracks!$L$61,SUM(Popn!M$153:M$157)*Tracks!$L$62,SUM(Popn!M$158:M$162)*Tracks!$L$63,SUM(Popn!M$163:M$167)*Tracks!$L$64,SUM(Popn!M$168:M$172)*Tracks!$L$65,SUM(Popn!M$173:M$177)*Tracks!$L$66,SUM(Popn!M$178:M$182)*Tracks!$L$67,SUM(Popn!M$183:M$187)*Tracks!$L$68,SUM(Popn!M$188:M$193)*Tracks!$L$69)/1000000000</f>
        <v>5.773611917589564</v>
      </c>
      <c r="N92" s="104">
        <f>SUM(SUM(Popn!N$103:N$107)*Tracks!$L$52,SUM(Popn!N$108:N$112)*Tracks!$L$53,SUM(Popn!N$113:N$117)*Tracks!$L$54,SUM(Popn!N$118:N$122)*Tracks!$L$55,SUM(Popn!N$123:N$127)*Tracks!$L$56,SUM(Popn!N$128:N$132)*Tracks!$L$57,SUM(Popn!N$133:N$137)*Tracks!$L$58,SUM(Popn!N$138:N$142)*Tracks!$L$59,SUM(Popn!N$143:N$147)*Tracks!$L$60,SUM(Popn!N$148:N$152)*Tracks!$L$61,SUM(Popn!N$153:N$157)*Tracks!$L$62,SUM(Popn!N$158:N$162)*Tracks!$L$63,SUM(Popn!N$163:N$167)*Tracks!$L$64,SUM(Popn!N$168:N$172)*Tracks!$L$65,SUM(Popn!N$173:N$177)*Tracks!$L$66,SUM(Popn!N$178:N$182)*Tracks!$L$67,SUM(Popn!N$183:N$187)*Tracks!$L$68,SUM(Popn!N$188:N$193)*Tracks!$L$69)/1000000000</f>
        <v>5.868493645017706</v>
      </c>
      <c r="O92" s="104">
        <f>SUM(SUM(Popn!O$103:O$107)*Tracks!$L$52,SUM(Popn!O$108:O$112)*Tracks!$L$53,SUM(Popn!O$113:O$117)*Tracks!$L$54,SUM(Popn!O$118:O$122)*Tracks!$L$55,SUM(Popn!O$123:O$127)*Tracks!$L$56,SUM(Popn!O$128:O$132)*Tracks!$L$57,SUM(Popn!O$133:O$137)*Tracks!$L$58,SUM(Popn!O$138:O$142)*Tracks!$L$59,SUM(Popn!O$143:O$147)*Tracks!$L$60,SUM(Popn!O$148:O$152)*Tracks!$L$61,SUM(Popn!O$153:O$157)*Tracks!$L$62,SUM(Popn!O$158:O$162)*Tracks!$L$63,SUM(Popn!O$163:O$167)*Tracks!$L$64,SUM(Popn!O$168:O$172)*Tracks!$L$65,SUM(Popn!O$173:O$177)*Tracks!$L$66,SUM(Popn!O$178:O$182)*Tracks!$L$67,SUM(Popn!O$183:O$187)*Tracks!$L$68,SUM(Popn!O$188:O$193)*Tracks!$L$69)/1000000000</f>
        <v>5.961064516587875</v>
      </c>
      <c r="P92" s="104">
        <f>SUM(SUM(Popn!P$103:P$107)*Tracks!$L$52,SUM(Popn!P$108:P$112)*Tracks!$L$53,SUM(Popn!P$113:P$117)*Tracks!$L$54,SUM(Popn!P$118:P$122)*Tracks!$L$55,SUM(Popn!P$123:P$127)*Tracks!$L$56,SUM(Popn!P$128:P$132)*Tracks!$L$57,SUM(Popn!P$133:P$137)*Tracks!$L$58,SUM(Popn!P$138:P$142)*Tracks!$L$59,SUM(Popn!P$143:P$147)*Tracks!$L$60,SUM(Popn!P$148:P$152)*Tracks!$L$61,SUM(Popn!P$153:P$157)*Tracks!$L$62,SUM(Popn!P$158:P$162)*Tracks!$L$63,SUM(Popn!P$163:P$167)*Tracks!$L$64,SUM(Popn!P$168:P$172)*Tracks!$L$65,SUM(Popn!P$173:P$177)*Tracks!$L$66,SUM(Popn!P$178:P$182)*Tracks!$L$67,SUM(Popn!P$183:P$187)*Tracks!$L$68,SUM(Popn!P$188:P$193)*Tracks!$L$69)/1000000000</f>
        <v>6.056600173036808</v>
      </c>
      <c r="Q92" s="104">
        <f>SUM(SUM(Popn!Q$103:Q$107)*Tracks!$L$52,SUM(Popn!Q$108:Q$112)*Tracks!$L$53,SUM(Popn!Q$113:Q$117)*Tracks!$L$54,SUM(Popn!Q$118:Q$122)*Tracks!$L$55,SUM(Popn!Q$123:Q$127)*Tracks!$L$56,SUM(Popn!Q$128:Q$132)*Tracks!$L$57,SUM(Popn!Q$133:Q$137)*Tracks!$L$58,SUM(Popn!Q$138:Q$142)*Tracks!$L$59,SUM(Popn!Q$143:Q$147)*Tracks!$L$60,SUM(Popn!Q$148:Q$152)*Tracks!$L$61,SUM(Popn!Q$153:Q$157)*Tracks!$L$62,SUM(Popn!Q$158:Q$162)*Tracks!$L$63,SUM(Popn!Q$163:Q$167)*Tracks!$L$64,SUM(Popn!Q$168:Q$172)*Tracks!$L$65,SUM(Popn!Q$173:Q$177)*Tracks!$L$66,SUM(Popn!Q$178:Q$182)*Tracks!$L$67,SUM(Popn!Q$183:Q$187)*Tracks!$L$68,SUM(Popn!Q$188:Q$193)*Tracks!$L$69)/1000000000</f>
        <v>6.156379259649849</v>
      </c>
      <c r="R92" s="104">
        <f>SUM(SUM(Popn!R$103:R$107)*Tracks!$L$52,SUM(Popn!R$108:R$112)*Tracks!$L$53,SUM(Popn!R$113:R$117)*Tracks!$L$54,SUM(Popn!R$118:R$122)*Tracks!$L$55,SUM(Popn!R$123:R$127)*Tracks!$L$56,SUM(Popn!R$128:R$132)*Tracks!$L$57,SUM(Popn!R$133:R$137)*Tracks!$L$58,SUM(Popn!R$138:R$142)*Tracks!$L$59,SUM(Popn!R$143:R$147)*Tracks!$L$60,SUM(Popn!R$148:R$152)*Tracks!$L$61,SUM(Popn!R$153:R$157)*Tracks!$L$62,SUM(Popn!R$158:R$162)*Tracks!$L$63,SUM(Popn!R$163:R$167)*Tracks!$L$64,SUM(Popn!R$168:R$172)*Tracks!$L$65,SUM(Popn!R$173:R$177)*Tracks!$L$66,SUM(Popn!R$178:R$182)*Tracks!$L$67,SUM(Popn!R$183:R$187)*Tracks!$L$68,SUM(Popn!R$188:R$193)*Tracks!$L$69)/1000000000</f>
        <v>6.263568455955497</v>
      </c>
      <c r="S92" s="104">
        <f>SUM(SUM(Popn!S$103:S$107)*Tracks!$L$52,SUM(Popn!S$108:S$112)*Tracks!$L$53,SUM(Popn!S$113:S$117)*Tracks!$L$54,SUM(Popn!S$118:S$122)*Tracks!$L$55,SUM(Popn!S$123:S$127)*Tracks!$L$56,SUM(Popn!S$128:S$132)*Tracks!$L$57,SUM(Popn!S$133:S$137)*Tracks!$L$58,SUM(Popn!S$138:S$142)*Tracks!$L$59,SUM(Popn!S$143:S$147)*Tracks!$L$60,SUM(Popn!S$148:S$152)*Tracks!$L$61,SUM(Popn!S$153:S$157)*Tracks!$L$62,SUM(Popn!S$158:S$162)*Tracks!$L$63,SUM(Popn!S$163:S$167)*Tracks!$L$64,SUM(Popn!S$168:S$172)*Tracks!$L$65,SUM(Popn!S$173:S$177)*Tracks!$L$66,SUM(Popn!S$178:S$182)*Tracks!$L$67,SUM(Popn!S$183:S$187)*Tracks!$L$68,SUM(Popn!S$188:S$193)*Tracks!$L$69)/1000000000</f>
        <v>6.3781282933885795</v>
      </c>
      <c r="T92" s="104">
        <f>SUM(SUM(Popn!T$103:T$107)*Tracks!$L$52,SUM(Popn!T$108:T$112)*Tracks!$L$53,SUM(Popn!T$113:T$117)*Tracks!$L$54,SUM(Popn!T$118:T$122)*Tracks!$L$55,SUM(Popn!T$123:T$127)*Tracks!$L$56,SUM(Popn!T$128:T$132)*Tracks!$L$57,SUM(Popn!T$133:T$137)*Tracks!$L$58,SUM(Popn!T$138:T$142)*Tracks!$L$59,SUM(Popn!T$143:T$147)*Tracks!$L$60,SUM(Popn!T$148:T$152)*Tracks!$L$61,SUM(Popn!T$153:T$157)*Tracks!$L$62,SUM(Popn!T$158:T$162)*Tracks!$L$63,SUM(Popn!T$163:T$167)*Tracks!$L$64,SUM(Popn!T$168:T$172)*Tracks!$L$65,SUM(Popn!T$173:T$177)*Tracks!$L$66,SUM(Popn!T$178:T$182)*Tracks!$L$67,SUM(Popn!T$183:T$187)*Tracks!$L$68,SUM(Popn!T$188:T$193)*Tracks!$L$69)/1000000000</f>
        <v>6.486787611843924</v>
      </c>
      <c r="U92" s="140"/>
    </row>
    <row r="93" spans="1:21" ht="12.75">
      <c r="A93" s="150"/>
      <c r="B93" s="108"/>
      <c r="C93" s="104"/>
      <c r="D93" s="121"/>
      <c r="E93" s="459"/>
      <c r="F93" s="173"/>
      <c r="G93" s="173"/>
      <c r="H93" s="173"/>
      <c r="I93" s="173"/>
      <c r="J93" s="173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</row>
    <row r="94" spans="1:21" ht="12.75">
      <c r="A94" s="150" t="s">
        <v>143</v>
      </c>
      <c r="B94" s="108"/>
      <c r="C94" s="104"/>
      <c r="D94" s="121"/>
      <c r="E94" s="459"/>
      <c r="F94" s="173"/>
      <c r="G94" s="173"/>
      <c r="H94" s="173"/>
      <c r="I94" s="173"/>
      <c r="J94" s="173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 s="46" t="s">
        <v>588</v>
      </c>
      <c r="B95" s="108"/>
      <c r="C95" s="104"/>
      <c r="D95" s="101">
        <f ca="1">Data!C$42+IF(OFFSET(Scenarios!$A$61,0,$C$1)="Yes",OFFSET(Scenarios!$A$63,0,$C$1)*D$70,0)</f>
        <v>9.269</v>
      </c>
      <c r="E95" s="101">
        <f ca="1">Data!D$42+IF(OFFSET(Scenarios!$A$61,0,$C$1)="Yes",OFFSET(Scenarios!$A$63,0,$C$1)*E$70,0)</f>
        <v>9.551</v>
      </c>
      <c r="F95" s="174">
        <f ca="1">Data!E$42+IF(OFFSET(Scenarios!$A$61,0,$C$1)="Yes",OFFSET(Scenarios!$A$63,0,$C$1)*(F$70+IF($I$1="Yes",F$267,0)),0)+IF($F$1="Yes",Data!D$42*OFFSET(ReadyReckoner!$A$54,0,F$262),0)</f>
        <v>10.739</v>
      </c>
      <c r="G95" s="174">
        <f ca="1">Data!F$42+IF(OFFSET(Scenarios!$A$61,0,$C$1)="Yes",OFFSET(Scenarios!$A$63,0,$C$1)*(G$70+IF($I$1="Yes",G$267,0)),0)+IF($F$1="Yes",Data!E$42*OFFSET(ReadyReckoner!$A$54,0,G$262),0)</f>
        <v>11.117</v>
      </c>
      <c r="H95" s="174">
        <f ca="1">Data!G$42+IF(OFFSET(Scenarios!$A$61,0,$C$1)="Yes",OFFSET(Scenarios!$A$63,0,$C$1)*(H$70+IF($I$1="Yes",H$267,0)),0)+IF($F$1="Yes",Data!F$42*OFFSET(ReadyReckoner!$A$54,0,H$262),0)</f>
        <v>11.302</v>
      </c>
      <c r="I95" s="174">
        <f ca="1">Data!H$42+IF(OFFSET(Scenarios!$A$61,0,$C$1)="Yes",OFFSET(Scenarios!$A$63,0,$C$1)*(I$70+IF($I$1="Yes",I$267,0)),0)+IF($F$1="Yes",Data!G$42*OFFSET(ReadyReckoner!$A$54,0,I$262),0)</f>
        <v>11.419</v>
      </c>
      <c r="J95" s="174">
        <f ca="1">Data!I$42+IF(OFFSET(Scenarios!$A$61,0,$C$1)="Yes",OFFSET(Scenarios!$A$63,0,$C$1)*(J$70+IF($I$1="Yes",J$267,0)),0)+IF($F$1="Yes",Data!H$42*OFFSET(ReadyReckoner!$A$54,0,J$262),0)</f>
        <v>11.488</v>
      </c>
      <c r="K95" s="106">
        <f ca="1">J$95*(1+AVERAGE(Popn!K$198:K$200))+IF(OFFSET(Scenarios!$A$61,0,$C$1)="Yes",(K$70-J$70*(1+AVERAGE(Popn!K$198:K$200)))*OFFSET(Scenarios!$A$63,0,$C$1),0)</f>
        <v>11.471767549586461</v>
      </c>
      <c r="L95" s="106">
        <f ca="1">K$95*(1+AVERAGE(Popn!L$198:L$200))+IF(OFFSET(Scenarios!$A$61,0,$C$1)="Yes",(L$70-K$70*(1+AVERAGE(Popn!L$198:L$200)))*OFFSET(Scenarios!$A$63,0,$C$1),0)</f>
        <v>11.43196244402291</v>
      </c>
      <c r="M95" s="106">
        <f ca="1">L$95*(1+AVERAGE(Popn!M$198:M$200))+IF(OFFSET(Scenarios!$A$61,0,$C$1)="Yes",(M$70-L$70*(1+AVERAGE(Popn!M$198:M$200)))*OFFSET(Scenarios!$A$63,0,$C$1),0)</f>
        <v>11.382420291373462</v>
      </c>
      <c r="N95" s="106">
        <f ca="1">M$95*(1+AVERAGE(Popn!N$198:N$200))+IF(OFFSET(Scenarios!$A$61,0,$C$1)="Yes",(N$70-M$70*(1+AVERAGE(Popn!N$198:N$200)))*OFFSET(Scenarios!$A$63,0,$C$1),0)</f>
        <v>11.344864902189894</v>
      </c>
      <c r="O95" s="106">
        <f ca="1">N$95*(1+AVERAGE(Popn!O$198:O$200))+IF(OFFSET(Scenarios!$A$61,0,$C$1)="Yes",(O$70-N$70*(1+AVERAGE(Popn!O$198:O$200)))*OFFSET(Scenarios!$A$63,0,$C$1),0)</f>
        <v>11.319317955497072</v>
      </c>
      <c r="P95" s="106">
        <f ca="1">O$95*(1+AVERAGE(Popn!P$198:P$200))+IF(OFFSET(Scenarios!$A$61,0,$C$1)="Yes",(P$70-O$70*(1+AVERAGE(Popn!P$198:P$200)))*OFFSET(Scenarios!$A$63,0,$C$1),0)</f>
        <v>11.303750741248301</v>
      </c>
      <c r="Q95" s="106">
        <f ca="1">P$95*(1+AVERAGE(Popn!Q$198:Q$200))+IF(OFFSET(Scenarios!$A$61,0,$C$1)="Yes",(Q$70-P$70*(1+AVERAGE(Popn!Q$198:Q$200)))*OFFSET(Scenarios!$A$63,0,$C$1),0)</f>
        <v>11.280645690988926</v>
      </c>
      <c r="R95" s="106">
        <f ca="1">Q$95*(1+AVERAGE(Popn!R$198:R$200))+IF(OFFSET(Scenarios!$A$61,0,$C$1)="Yes",(R$70-Q$70*(1+AVERAGE(Popn!R$198:R$200)))*OFFSET(Scenarios!$A$63,0,$C$1),0)</f>
        <v>11.26914277465053</v>
      </c>
      <c r="S95" s="106">
        <f ca="1">R$95*(1+AVERAGE(Popn!S$198:S$200))+IF(OFFSET(Scenarios!$A$61,0,$C$1)="Yes",(S$70-R$70*(1+AVERAGE(Popn!S$198:S$200)))*OFFSET(Scenarios!$A$63,0,$C$1),0)</f>
        <v>11.279817015832647</v>
      </c>
      <c r="T95" s="106">
        <f ca="1">S$95*(1+AVERAGE(Popn!T$198:T$200))+IF(OFFSET(Scenarios!$A$61,0,$C$1)="Yes",(T$70-S$70*(1+AVERAGE(Popn!T$198:T$200)))*OFFSET(Scenarios!$A$63,0,$C$1),0)</f>
        <v>11.288567320229438</v>
      </c>
      <c r="U95" s="106"/>
    </row>
    <row r="96" spans="1:21" ht="12.75">
      <c r="A96" s="46" t="s">
        <v>589</v>
      </c>
      <c r="B96" s="108"/>
      <c r="C96" s="104"/>
      <c r="D96" s="101">
        <f>Data!C$17-Data!C$42+D$95</f>
        <v>9.853</v>
      </c>
      <c r="E96" s="101">
        <f>Data!D$17-Data!D$42+E$95</f>
        <v>10.397</v>
      </c>
      <c r="F96" s="174">
        <f>Data!E$17-Data!E$42+F$95</f>
        <v>11.643</v>
      </c>
      <c r="G96" s="174">
        <f>Data!F$17-Data!F$42+G$95</f>
        <v>11.947</v>
      </c>
      <c r="H96" s="174">
        <f>Data!G$17-Data!G$42+H$95</f>
        <v>12.167</v>
      </c>
      <c r="I96" s="174">
        <f>Data!H$17-Data!H$42+I$95</f>
        <v>12.453</v>
      </c>
      <c r="J96" s="174">
        <f>Data!I$17-Data!I$42+J$95</f>
        <v>12.658</v>
      </c>
      <c r="K96" s="106">
        <f>(J$96-J$95)*(1+AVERAGE(Popn!K$198:K$200))+K$95</f>
        <v>12.640114349117813</v>
      </c>
      <c r="L96" s="106">
        <f>(K$96-K$95)*(1+AVERAGE(Popn!L$198:L$200))+L$95</f>
        <v>12.59625527650087</v>
      </c>
      <c r="M96" s="106">
        <f>(L$96-L$95)*(1+AVERAGE(Popn!M$198:M$200))+M$95</f>
        <v>12.541667483304778</v>
      </c>
      <c r="N96" s="106">
        <f>(M$96-M$95)*(1+AVERAGE(Popn!N$198:N$200))+N$95</f>
        <v>12.500287250341199</v>
      </c>
      <c r="O96" s="106">
        <f>(N$96-N$95)*(1+AVERAGE(Popn!O$198:O$200))+O$95</f>
        <v>12.472138464544042</v>
      </c>
      <c r="P96" s="106">
        <f>(O$96-O$95)*(1+AVERAGE(Popn!P$198:P$200))+P$95</f>
        <v>12.454985801072512</v>
      </c>
      <c r="Q96" s="106">
        <f>(P$96-P$95)*(1+AVERAGE(Popn!Q$198:Q$200))+Q$95</f>
        <v>12.429527607637349</v>
      </c>
      <c r="R96" s="106">
        <f>(Q$96-Q$95)*(1+AVERAGE(Popn!R$198:R$200))+R$95</f>
        <v>12.416853172138445</v>
      </c>
      <c r="S96" s="106">
        <f>(R$96-R$95)*(1+AVERAGE(Popn!S$198:S$200))+S$95</f>
        <v>12.428614535725076</v>
      </c>
      <c r="T96" s="106">
        <f>(S$96-S$95)*(1+AVERAGE(Popn!T$198:T$200))+T$95</f>
        <v>12.438256018407404</v>
      </c>
      <c r="U96" s="106"/>
    </row>
    <row r="97" spans="1:21" ht="12.75">
      <c r="A97" s="46"/>
      <c r="B97" s="142"/>
      <c r="C97" s="147"/>
      <c r="D97" s="141"/>
      <c r="E97" s="141"/>
      <c r="F97" s="147"/>
      <c r="G97" s="147"/>
      <c r="H97" s="147"/>
      <c r="I97" s="147"/>
      <c r="J97" s="147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</row>
    <row r="98" spans="1:10" ht="12.75">
      <c r="A98" s="150" t="s">
        <v>788</v>
      </c>
      <c r="C98" s="99"/>
      <c r="D98" s="99"/>
      <c r="E98" s="99"/>
      <c r="F98" s="99"/>
      <c r="G98" s="99"/>
      <c r="H98" s="99"/>
      <c r="I98" s="99"/>
      <c r="J98" s="99"/>
    </row>
    <row r="99" spans="1:20" ht="12.75">
      <c r="A99" s="50" t="s">
        <v>928</v>
      </c>
      <c r="B99" s="58"/>
      <c r="C99" s="99"/>
      <c r="D99" s="99">
        <f>Data!C$40</f>
        <v>0.645</v>
      </c>
      <c r="E99" s="99">
        <f>Data!D$40</f>
        <v>0.69</v>
      </c>
      <c r="F99" s="170">
        <f>Data!E$40</f>
        <v>0.654</v>
      </c>
      <c r="G99" s="170">
        <f>Data!F$40</f>
        <v>0.555</v>
      </c>
      <c r="H99" s="170">
        <f>Data!G$40</f>
        <v>0.545</v>
      </c>
      <c r="I99" s="170">
        <f>Data!H$40</f>
        <v>0.548</v>
      </c>
      <c r="J99" s="170">
        <f>Data!I$40</f>
        <v>0.549</v>
      </c>
      <c r="K99" s="104">
        <f>J$99*Tracks!N$15/Tracks!M$15</f>
        <v>0.5477599538153439</v>
      </c>
      <c r="L99" s="104">
        <f>K$99*Tracks!O$15/Tracks!N$15</f>
        <v>0.5506730351498791</v>
      </c>
      <c r="M99" s="104">
        <f>L$99*Tracks!P$15/Tracks!O$15</f>
        <v>0.5564220928056457</v>
      </c>
      <c r="N99" s="104">
        <f>M$99*Tracks!Q$15/Tracks!P$15</f>
        <v>0.5601425363955047</v>
      </c>
      <c r="O99" s="104">
        <f>N$99*Tracks!R$15/Tracks!Q$15</f>
        <v>0.5624758031097989</v>
      </c>
      <c r="P99" s="104">
        <f>O$99*Tracks!S$15/Tracks!R$15</f>
        <v>0.5649130329442548</v>
      </c>
      <c r="Q99" s="104">
        <f>P$99*Tracks!T$15/Tracks!S$15</f>
        <v>0.567157452418963</v>
      </c>
      <c r="R99" s="104">
        <f>Q$99*Tracks!U$15/Tracks!T$15</f>
        <v>0.5674385173878406</v>
      </c>
      <c r="S99" s="104">
        <f>R$99*Tracks!V$15/Tracks!U$15</f>
        <v>0.5644284100977714</v>
      </c>
      <c r="T99" s="104">
        <f>S$99*Tracks!W$15/Tracks!V$15</f>
        <v>0.5619905982356814</v>
      </c>
    </row>
    <row r="100" spans="1:20" ht="12.75">
      <c r="A100" s="50" t="s">
        <v>621</v>
      </c>
      <c r="B100" s="58"/>
      <c r="C100" s="99"/>
      <c r="D100" s="99">
        <f>Data!C$48</f>
        <v>0</v>
      </c>
      <c r="E100" s="99">
        <f>Data!D$48</f>
        <v>1.102</v>
      </c>
      <c r="F100" s="170">
        <f>Data!E$48</f>
        <v>1.4404000000000001</v>
      </c>
      <c r="G100" s="170">
        <f>Data!F$48</f>
        <v>1.54579</v>
      </c>
      <c r="H100" s="170">
        <f>Data!G$48</f>
        <v>1.6986400000000001</v>
      </c>
      <c r="I100" s="170">
        <f>Data!H$48</f>
        <v>1.78719</v>
      </c>
      <c r="J100" s="170">
        <f>Data!I$48</f>
        <v>1.85282</v>
      </c>
      <c r="K100" s="104">
        <f>Tracks!H$109/1000</f>
        <v>1.8992922536049477</v>
      </c>
      <c r="L100" s="104">
        <f>Tracks!I$109/1000</f>
        <v>1.932438572406954</v>
      </c>
      <c r="M100" s="104">
        <f>Tracks!J$109/1000</f>
        <v>1.9666250032786556</v>
      </c>
      <c r="N100" s="104">
        <f>Tracks!K$109/1000</f>
        <v>2.006261272588974</v>
      </c>
      <c r="O100" s="104">
        <f>Tracks!L$109/1000</f>
        <v>2.045801846590945</v>
      </c>
      <c r="P100" s="104">
        <f>Tracks!M$109/1000</f>
        <v>2.0846662768818405</v>
      </c>
      <c r="Q100" s="303">
        <f>P100*(1+Popn!Q$197)</f>
        <v>2.1006183298839813</v>
      </c>
      <c r="R100" s="303">
        <f>Q100*(1+Popn!R$197)</f>
        <v>2.1163574522565054</v>
      </c>
      <c r="S100" s="303">
        <f>R100*(1+Popn!S$197)</f>
        <v>2.131848155561143</v>
      </c>
      <c r="T100" s="303">
        <f>S100*(1+Popn!T$197)</f>
        <v>2.14708600374311</v>
      </c>
    </row>
    <row r="101" spans="1:21" s="330" customFormat="1" ht="12.75">
      <c r="A101" s="344" t="s">
        <v>562</v>
      </c>
      <c r="B101" s="331"/>
      <c r="C101" s="103"/>
      <c r="D101" s="103">
        <f ca="1">SUM(Data!C$43:C$47,Data!C$49:C$53,Data!C$57)+IF(OFFSET(Scenarios!$A$61,0,$C$1)="Yes",(1-SUM(OFFSET(Scenarios!$A$62,0,$C$1),OFFSET(Scenarios!$A$63,0,$C$1)))*D$70,0)</f>
        <v>14.637</v>
      </c>
      <c r="E101" s="103">
        <f ca="1">SUM(Data!D$43:D$47,Data!D$49:D$53,Data!D$57)+IF(OFFSET(Scenarios!$A$61,0,$C$1)="Yes",(1-SUM(OFFSET(Scenarios!$A$62,0,$C$1),OFFSET(Scenarios!$A$63,0,$C$1)))*E$70,0)</f>
        <v>14.02</v>
      </c>
      <c r="F101" s="170">
        <f ca="1">SUM(Data!E$43:E$47,Data!E$49:E$53,Data!E$57,-Data!E$51)+IF(OFFSET(Scenarios!$A$61,0,$C$1)="Yes",(1-SUM(OFFSET(Scenarios!$A$62,0,$C$1),OFFSET(Scenarios!$A$63,0,$C$1)))*(F$70+IF($I$1="Yes",F$267,0)),0)+IF($F$1="Yes",SUM(Data!D$43:D$50)*OFFSET(ReadyReckoner!$A$54,0,F$262),0)</f>
        <v>14.836599999999999</v>
      </c>
      <c r="G101" s="170">
        <f ca="1">SUM(Data!F$43:F$47,Data!F$49:F$53,Data!F$57,-Data!F$51)+IF(OFFSET(Scenarios!$A$61,0,$C$1)="Yes",(1-SUM(OFFSET(Scenarios!$A$62,0,$C$1),OFFSET(Scenarios!$A$63,0,$C$1)))*(G$70+IF($I$1="Yes",G$267,0)),0)+IF($F$1="Yes",SUM(Data!E$43:E$50)*OFFSET(ReadyReckoner!$A$54,0,G$262),0)</f>
        <v>14.89821</v>
      </c>
      <c r="H101" s="170">
        <f ca="1">SUM(Data!G$43:G$47,Data!G$49:G$53,Data!G$57,-Data!G$51)+IF(OFFSET(Scenarios!$A$61,0,$C$1)="Yes",(1-SUM(OFFSET(Scenarios!$A$62,0,$C$1),OFFSET(Scenarios!$A$63,0,$C$1)))*(H$70+IF($I$1="Yes",H$267,0)),0)+IF($F$1="Yes",SUM(Data!F$43:F$50)*OFFSET(ReadyReckoner!$A$54,0,H$262),0)</f>
        <v>14.97636</v>
      </c>
      <c r="I101" s="170">
        <f ca="1">SUM(Data!H$43:H$47,Data!H$49:H$53,Data!H$57,-Data!H$51)+IF(OFFSET(Scenarios!$A$61,0,$C$1)="Yes",(1-SUM(OFFSET(Scenarios!$A$62,0,$C$1),OFFSET(Scenarios!$A$63,0,$C$1)))*(I$70+IF($I$1="Yes",I$267,0)),0)+IF($F$1="Yes",SUM(Data!G$43:G$50)*OFFSET(ReadyReckoner!$A$54,0,I$262),0)</f>
        <v>15.042810000000001</v>
      </c>
      <c r="J101" s="170">
        <f ca="1">SUM(Data!I$43:I$47,Data!I$49:I$53,Data!I$57,-Data!I$51)+IF(OFFSET(Scenarios!$A$61,0,$C$1)="Yes",(1-SUM(OFFSET(Scenarios!$A$62,0,$C$1),OFFSET(Scenarios!$A$63,0,$C$1)))*(J$70+IF($I$1="Yes",J$267,0)),0)+IF($F$1="Yes",SUM(Data!H$43:H$50)*OFFSET(ReadyReckoner!$A$54,0,J$262),0)</f>
        <v>15.27018</v>
      </c>
      <c r="K101" s="111">
        <f ca="1">J$101+IF(OFFSET(Scenarios!$A$61,0,$C$1)="Yes",(K$70-J$70)*(1-SUM(OFFSET(Scenarios!$A$62,0,$C$1),OFFSET(Scenarios!$A$63,0,$C$1))),0)</f>
        <v>15.27018</v>
      </c>
      <c r="L101" s="111">
        <f ca="1">K$101+IF(OFFSET(Scenarios!$A$61,0,$C$1)="Yes",(L$70-K$70)*(1-SUM(OFFSET(Scenarios!$A$62,0,$C$1),OFFSET(Scenarios!$A$63,0,$C$1))),0)</f>
        <v>15.27018</v>
      </c>
      <c r="M101" s="111">
        <f ca="1">L$101+IF(OFFSET(Scenarios!$A$61,0,$C$1)="Yes",(M$70-L$70)*(1-SUM(OFFSET(Scenarios!$A$62,0,$C$1),OFFSET(Scenarios!$A$63,0,$C$1))),0)</f>
        <v>15.27018</v>
      </c>
      <c r="N101" s="111">
        <f ca="1">M$101+IF(OFFSET(Scenarios!$A$61,0,$C$1)="Yes",(N$70-M$70)*(1-SUM(OFFSET(Scenarios!$A$62,0,$C$1),OFFSET(Scenarios!$A$63,0,$C$1))),0)</f>
        <v>15.27018</v>
      </c>
      <c r="O101" s="111">
        <f ca="1">N$101+IF(OFFSET(Scenarios!$A$61,0,$C$1)="Yes",(O$70-N$70)*(1-SUM(OFFSET(Scenarios!$A$62,0,$C$1),OFFSET(Scenarios!$A$63,0,$C$1))),0)</f>
        <v>15.27018</v>
      </c>
      <c r="P101" s="111">
        <f ca="1">O$101+IF(OFFSET(Scenarios!$A$61,0,$C$1)="Yes",(P$70-O$70)*(1-SUM(OFFSET(Scenarios!$A$62,0,$C$1),OFFSET(Scenarios!$A$63,0,$C$1))),0)</f>
        <v>15.27018</v>
      </c>
      <c r="Q101" s="111">
        <f ca="1">P$101+IF(OFFSET(Scenarios!$A$61,0,$C$1)="Yes",(Q$70-P$70)*(1-SUM(OFFSET(Scenarios!$A$62,0,$C$1),OFFSET(Scenarios!$A$63,0,$C$1))),0)</f>
        <v>15.27018</v>
      </c>
      <c r="R101" s="111">
        <f ca="1">Q$101+IF(OFFSET(Scenarios!$A$61,0,$C$1)="Yes",(R$70-Q$70)*(1-SUM(OFFSET(Scenarios!$A$62,0,$C$1),OFFSET(Scenarios!$A$63,0,$C$1))),0)</f>
        <v>15.27018</v>
      </c>
      <c r="S101" s="111">
        <f ca="1">R$101+IF(OFFSET(Scenarios!$A$61,0,$C$1)="Yes",(S$70-R$70)*(1-SUM(OFFSET(Scenarios!$A$62,0,$C$1),OFFSET(Scenarios!$A$63,0,$C$1))),0)</f>
        <v>15.27018</v>
      </c>
      <c r="T101" s="111">
        <f ca="1">S$101+IF(OFFSET(Scenarios!$A$61,0,$C$1)="Yes",(T$70-S$70)*(1-SUM(OFFSET(Scenarios!$A$62,0,$C$1),OFFSET(Scenarios!$A$63,0,$C$1))),0)</f>
        <v>15.27018</v>
      </c>
      <c r="U101" s="111"/>
    </row>
    <row r="102" spans="1:21" s="304" customFormat="1" ht="12.75">
      <c r="A102" s="344" t="s">
        <v>26</v>
      </c>
      <c r="B102" s="297"/>
      <c r="C102" s="247"/>
      <c r="D102" s="247">
        <f>Data!C$51</f>
        <v>0</v>
      </c>
      <c r="E102" s="247">
        <f>Data!D$51</f>
        <v>0</v>
      </c>
      <c r="F102" s="224">
        <f>Data!E$51</f>
        <v>0.327</v>
      </c>
      <c r="G102" s="224">
        <f>Data!F$51</f>
        <v>0.956</v>
      </c>
      <c r="H102" s="224">
        <f>Data!G$51</f>
        <v>0.629</v>
      </c>
      <c r="I102" s="224">
        <f>Data!H$51</f>
        <v>0.642</v>
      </c>
      <c r="J102" s="224">
        <f>Data!I$51</f>
        <v>1.07</v>
      </c>
      <c r="K102" s="303">
        <f>Tracks!H$117</f>
        <v>1.35</v>
      </c>
      <c r="L102" s="303">
        <f>Tracks!I$117</f>
        <v>1.35</v>
      </c>
      <c r="M102" s="303">
        <f>Tracks!J$117</f>
        <v>1.35</v>
      </c>
      <c r="N102" s="303">
        <f>Tracks!K$117</f>
        <v>1.35</v>
      </c>
      <c r="O102" s="303">
        <f>Tracks!L$117</f>
        <v>1.35</v>
      </c>
      <c r="P102" s="303">
        <f>Tracks!M$117</f>
        <v>1.2479166666666666</v>
      </c>
      <c r="Q102" s="303">
        <f>Tracks!N$117</f>
        <v>1.1458333333333335</v>
      </c>
      <c r="R102" s="303">
        <f>Tracks!O$117</f>
        <v>1.04375</v>
      </c>
      <c r="S102" s="303">
        <f>Tracks!P$117</f>
        <v>0.9416666666666667</v>
      </c>
      <c r="T102" s="303">
        <f>Tracks!Q$117</f>
        <v>0.8395833333333333</v>
      </c>
      <c r="U102" s="303"/>
    </row>
    <row r="103" spans="1:21" ht="12.75">
      <c r="A103" s="46" t="s">
        <v>591</v>
      </c>
      <c r="B103" s="58"/>
      <c r="C103" s="99"/>
      <c r="D103" s="101">
        <f aca="true" t="shared" si="47" ref="D103:J103">SUM(D$99:D$102)</f>
        <v>15.282</v>
      </c>
      <c r="E103" s="101">
        <f t="shared" si="47"/>
        <v>15.812</v>
      </c>
      <c r="F103" s="174">
        <f t="shared" si="47"/>
        <v>17.258</v>
      </c>
      <c r="G103" s="174">
        <f t="shared" si="47"/>
        <v>17.955000000000002</v>
      </c>
      <c r="H103" s="174">
        <f t="shared" si="47"/>
        <v>17.849</v>
      </c>
      <c r="I103" s="174">
        <f t="shared" si="47"/>
        <v>18.02</v>
      </c>
      <c r="J103" s="174">
        <f t="shared" si="47"/>
        <v>18.742</v>
      </c>
      <c r="K103" s="106">
        <f aca="true" t="shared" si="48" ref="K103:R103">SUM(K$99:K$102)</f>
        <v>19.067232207420293</v>
      </c>
      <c r="L103" s="106">
        <f t="shared" si="48"/>
        <v>19.103291607556834</v>
      </c>
      <c r="M103" s="106">
        <f t="shared" si="48"/>
        <v>19.143227096084303</v>
      </c>
      <c r="N103" s="106">
        <f t="shared" si="48"/>
        <v>19.18658380898448</v>
      </c>
      <c r="O103" s="106">
        <f>SUM(O$99:O$102)</f>
        <v>19.228457649700744</v>
      </c>
      <c r="P103" s="106">
        <f t="shared" si="48"/>
        <v>19.16767597649276</v>
      </c>
      <c r="Q103" s="106">
        <f t="shared" si="48"/>
        <v>19.083789115636275</v>
      </c>
      <c r="R103" s="106">
        <f t="shared" si="48"/>
        <v>18.997725969644346</v>
      </c>
      <c r="S103" s="106">
        <f>SUM(S$99:S$102)</f>
        <v>18.908123232325583</v>
      </c>
      <c r="T103" s="106">
        <f>SUM(T$99:T$102)</f>
        <v>18.818839935312123</v>
      </c>
      <c r="U103" s="106"/>
    </row>
    <row r="104" spans="1:21" ht="12.75">
      <c r="A104" s="46" t="s">
        <v>201</v>
      </c>
      <c r="B104" s="142"/>
      <c r="C104" s="99"/>
      <c r="D104" s="101">
        <f>SUM(Data!C$18:C$22,Data!C$24:C$27)-SUM(Data!C$43:C$47,Data!C$49:C$53)+D$103</f>
        <v>25.501</v>
      </c>
      <c r="E104" s="101">
        <f>SUM(Data!D$18:D$22,Data!D$24:D$27)-SUM(Data!D$43:D$47,Data!D$49:D$53)+E$103</f>
        <v>30.025999999999996</v>
      </c>
      <c r="F104" s="174">
        <f>SUM(Data!E$18:E$22,Data!E$24:E$27)-SUM(Data!E$43:E$47,Data!E$49:E$53)+F$103</f>
        <v>31.362000000000002</v>
      </c>
      <c r="G104" s="174">
        <f>SUM(Data!F$18:F$22,Data!F$24:F$27)-SUM(Data!F$43:F$47,Data!F$49:F$53)+G$103</f>
        <v>32.992000000000004</v>
      </c>
      <c r="H104" s="174">
        <f>SUM(Data!G$18:G$22,Data!G$24:G$27)-SUM(Data!G$43:G$47,Data!G$49:G$53)+H$103</f>
        <v>34.126</v>
      </c>
      <c r="I104" s="174">
        <f>SUM(Data!H$18:H$22,Data!H$24:H$27)-SUM(Data!H$43:H$47,Data!H$49:H$53)+I$103</f>
        <v>34.55</v>
      </c>
      <c r="J104" s="174">
        <f>SUM(Data!I$18:I$22,Data!I$24:I$27)-SUM(Data!I$43:I$47,Data!I$49:I$53)+J$103</f>
        <v>35.736000000000004</v>
      </c>
      <c r="K104" s="149">
        <f aca="true" t="shared" si="49" ref="K104:T104">(J$104-J$103)*(1+K$212)+K$103</f>
        <v>36.79203276598457</v>
      </c>
      <c r="L104" s="149">
        <f t="shared" si="49"/>
        <v>37.53249442863423</v>
      </c>
      <c r="M104" s="149">
        <f t="shared" si="49"/>
        <v>38.371554740719944</v>
      </c>
      <c r="N104" s="149">
        <f t="shared" si="49"/>
        <v>39.322597854795774</v>
      </c>
      <c r="O104" s="149">
        <f t="shared" si="49"/>
        <v>40.291489145582574</v>
      </c>
      <c r="P104" s="149">
        <f t="shared" si="49"/>
        <v>41.177490071523444</v>
      </c>
      <c r="Q104" s="149">
        <f t="shared" si="49"/>
        <v>42.062380321995484</v>
      </c>
      <c r="R104" s="149">
        <f t="shared" si="49"/>
        <v>42.96686090440417</v>
      </c>
      <c r="S104" s="149">
        <f t="shared" si="49"/>
        <v>43.900332629658436</v>
      </c>
      <c r="T104" s="149">
        <f t="shared" si="49"/>
        <v>44.837460741998534</v>
      </c>
      <c r="U104" s="149"/>
    </row>
    <row r="105" spans="1:21" ht="12.75">
      <c r="A105" s="46"/>
      <c r="B105" s="142"/>
      <c r="C105" s="99"/>
      <c r="D105" s="101"/>
      <c r="E105" s="101"/>
      <c r="F105" s="174"/>
      <c r="G105" s="174"/>
      <c r="H105" s="174"/>
      <c r="I105" s="174"/>
      <c r="J105" s="174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</row>
    <row r="106" spans="1:21" ht="12.75">
      <c r="A106" s="150" t="s">
        <v>144</v>
      </c>
      <c r="B106" s="142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1:21" ht="12.75">
      <c r="A107" s="46" t="s">
        <v>222</v>
      </c>
      <c r="B107" s="142"/>
      <c r="C107" s="99"/>
      <c r="D107" s="101">
        <f>SUM(Data!C$54:C$55)</f>
        <v>2.329</v>
      </c>
      <c r="E107" s="101">
        <f>SUM(Data!D$54:D$55)</f>
        <v>2.46</v>
      </c>
      <c r="F107" s="293">
        <f>SUM(Data!E$54:E$55)+IF($I$1="Yes",F$268,0)+IF($F$1="Yes",F$281,0)</f>
        <v>2.657</v>
      </c>
      <c r="G107" s="293">
        <f>SUM(Data!F$54:F$55)+IF($I$1="Yes",G$268,0)+IF($F$1="Yes",G$281,0)</f>
        <v>2.626</v>
      </c>
      <c r="H107" s="293">
        <f>SUM(Data!G$54:G$55)+IF($I$1="Yes",H$268,0)+IF($F$1="Yes",H$281,0)</f>
        <v>3.061</v>
      </c>
      <c r="I107" s="293">
        <f>SUM(Data!H$54:H$55)+IF($I$1="Yes",I$268,0)+IF($F$1="Yes",I$281,0)</f>
        <v>3.455</v>
      </c>
      <c r="J107" s="293">
        <f>SUM(Data!I$54:I$55)+IF($I$1="Yes",J$268,0)+IF($F$1="Yes",J$281,0)</f>
        <v>3.858</v>
      </c>
      <c r="K107" s="64">
        <f aca="true" t="shared" si="50" ref="K107:S107">J$201*K$218</f>
        <v>3.5288399999999998</v>
      </c>
      <c r="L107" s="64">
        <f t="shared" si="50"/>
        <v>3.9322539580791736</v>
      </c>
      <c r="M107" s="64">
        <f t="shared" si="50"/>
        <v>4.305461377124809</v>
      </c>
      <c r="N107" s="64">
        <f t="shared" si="50"/>
        <v>4.6519373838484865</v>
      </c>
      <c r="O107" s="64">
        <f t="shared" si="50"/>
        <v>4.95951835154502</v>
      </c>
      <c r="P107" s="64">
        <f t="shared" si="50"/>
        <v>5.223039860319949</v>
      </c>
      <c r="Q107" s="64">
        <f t="shared" si="50"/>
        <v>5.4366376624116235</v>
      </c>
      <c r="R107" s="64">
        <f t="shared" si="50"/>
        <v>5.589531524399259</v>
      </c>
      <c r="S107" s="64">
        <f t="shared" si="50"/>
        <v>5.710883930792983</v>
      </c>
      <c r="T107" s="64">
        <f>S$201*T$218</f>
        <v>5.796892312880369</v>
      </c>
      <c r="U107" s="64"/>
    </row>
    <row r="108" spans="1:21" ht="12.75">
      <c r="A108" s="46" t="s">
        <v>223</v>
      </c>
      <c r="B108" s="142"/>
      <c r="C108" s="99"/>
      <c r="D108" s="101">
        <f>SUM(Data!C$28:C$29)</f>
        <v>2.885</v>
      </c>
      <c r="E108" s="101">
        <f>SUM(Data!D$28:D$29)</f>
        <v>3.101</v>
      </c>
      <c r="F108" s="293">
        <f>SUM(Data!E$28:E$29)+IF($I$1="Yes",F$268,0)+IF($F$1="Yes",F$281,0)</f>
        <v>3.311</v>
      </c>
      <c r="G108" s="293">
        <f>SUM(Data!F$28:F$29)+IF($I$1="Yes",G$268,0)+IF($F$1="Yes",G$281,0)</f>
        <v>3.457</v>
      </c>
      <c r="H108" s="293">
        <f>SUM(Data!G$28:G$29)+IF($I$1="Yes",H$268,0)+IF($F$1="Yes",H$281,0)</f>
        <v>4.009</v>
      </c>
      <c r="I108" s="293">
        <f>SUM(Data!H$28:H$29)+IF($I$1="Yes",I$268,0)+IF($F$1="Yes",I$281,0)</f>
        <v>4.434</v>
      </c>
      <c r="J108" s="293">
        <f>SUM(Data!I$28:I$29)+IF($I$1="Yes",J$268,0)+IF($F$1="Yes",J$281,0)</f>
        <v>4.916</v>
      </c>
      <c r="K108" s="106">
        <f aca="true" t="shared" si="51" ref="K108:S108">SUM(J$199,J$196)*K$218</f>
        <v>4.581899999999999</v>
      </c>
      <c r="L108" s="106">
        <f t="shared" si="51"/>
        <v>4.992996644933184</v>
      </c>
      <c r="M108" s="106">
        <f t="shared" si="51"/>
        <v>5.405829859147827</v>
      </c>
      <c r="N108" s="106">
        <f t="shared" si="51"/>
        <v>5.7982118801474</v>
      </c>
      <c r="O108" s="106">
        <f t="shared" si="51"/>
        <v>6.158966574513499</v>
      </c>
      <c r="P108" s="106">
        <f t="shared" si="51"/>
        <v>6.476160295998401</v>
      </c>
      <c r="Q108" s="106">
        <f t="shared" si="51"/>
        <v>6.743900908552641</v>
      </c>
      <c r="R108" s="106">
        <f t="shared" si="51"/>
        <v>6.951511496587389</v>
      </c>
      <c r="S108" s="106">
        <f t="shared" si="51"/>
        <v>7.128068932007186</v>
      </c>
      <c r="T108" s="106">
        <f>SUM(S$199,S$196)*T$218</f>
        <v>7.270507554015362</v>
      </c>
      <c r="U108" s="106"/>
    </row>
    <row r="109" spans="1:21" ht="12.75">
      <c r="A109" s="46"/>
      <c r="B109" s="142"/>
      <c r="C109" s="99"/>
      <c r="D109" s="101"/>
      <c r="E109" s="460"/>
      <c r="F109" s="174"/>
      <c r="G109" s="174"/>
      <c r="H109" s="174"/>
      <c r="I109" s="174"/>
      <c r="J109" s="174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</row>
    <row r="110" spans="1:21" ht="12.75">
      <c r="A110" s="150" t="s">
        <v>145</v>
      </c>
      <c r="B110" s="64"/>
      <c r="C110" s="99"/>
      <c r="D110" s="99"/>
      <c r="E110" s="45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403"/>
    </row>
    <row r="111" spans="1:20" ht="12.75">
      <c r="A111" s="50" t="s">
        <v>577</v>
      </c>
      <c r="B111" s="58"/>
      <c r="C111" s="99"/>
      <c r="D111" s="247">
        <f>Data!C$85</f>
        <v>9.83</v>
      </c>
      <c r="E111" s="458">
        <f aca="true" t="shared" si="52" ref="E111:S111">D$117</f>
        <v>12.973</v>
      </c>
      <c r="F111" s="146">
        <f t="shared" si="52"/>
        <v>14.212000000000002</v>
      </c>
      <c r="G111" s="146">
        <f t="shared" si="52"/>
        <v>17.44</v>
      </c>
      <c r="H111" s="146">
        <f t="shared" si="52"/>
        <v>20.636</v>
      </c>
      <c r="I111" s="146">
        <f t="shared" si="52"/>
        <v>24.173</v>
      </c>
      <c r="J111" s="146">
        <f t="shared" si="52"/>
        <v>28.022999999999993</v>
      </c>
      <c r="K111" s="104">
        <f t="shared" si="52"/>
        <v>32.15599999999999</v>
      </c>
      <c r="L111" s="104">
        <f t="shared" si="52"/>
        <v>36.46441802093435</v>
      </c>
      <c r="M111" s="104">
        <f t="shared" si="52"/>
        <v>40.958045391346786</v>
      </c>
      <c r="N111" s="104">
        <f t="shared" si="52"/>
        <v>45.70122028977668</v>
      </c>
      <c r="O111" s="104">
        <f t="shared" si="52"/>
        <v>50.753780902333396</v>
      </c>
      <c r="P111" s="104">
        <f t="shared" si="52"/>
        <v>56.125282107360164</v>
      </c>
      <c r="Q111" s="104">
        <f t="shared" si="52"/>
        <v>61.807729965404455</v>
      </c>
      <c r="R111" s="104">
        <f t="shared" si="52"/>
        <v>67.79713697241084</v>
      </c>
      <c r="S111" s="104">
        <f t="shared" si="52"/>
        <v>74.0106957520639</v>
      </c>
      <c r="T111" s="104">
        <f>S$117</f>
        <v>80.43512107475637</v>
      </c>
    </row>
    <row r="112" spans="1:20" ht="12.75">
      <c r="A112" s="222" t="s">
        <v>890</v>
      </c>
      <c r="B112" s="58"/>
      <c r="C112" s="99"/>
      <c r="D112" s="99">
        <f>Data!C$86</f>
        <v>2.0490000000000004</v>
      </c>
      <c r="E112" s="458">
        <f>Data!D$86</f>
        <v>2.103</v>
      </c>
      <c r="F112" s="146">
        <f>Data!E$86</f>
        <v>2.242</v>
      </c>
      <c r="G112" s="146">
        <f>Data!F$86</f>
        <v>1.977</v>
      </c>
      <c r="H112" s="146">
        <f>Data!G$86</f>
        <v>2.096</v>
      </c>
      <c r="I112" s="146">
        <f>Data!H$86</f>
        <v>2.167</v>
      </c>
      <c r="J112" s="146">
        <f>Data!I$86</f>
        <v>2.194</v>
      </c>
      <c r="K112" s="104">
        <f>Tracks!O$6</f>
        <v>2.127967619010681</v>
      </c>
      <c r="L112" s="104">
        <f>Tracks!P$6</f>
        <v>2.03291274611081</v>
      </c>
      <c r="M112" s="104">
        <f>Tracks!Q$6</f>
        <v>1.9884393386259163</v>
      </c>
      <c r="N112" s="104">
        <f>Tracks!R$6</f>
        <v>1.9860824067438525</v>
      </c>
      <c r="O112" s="104">
        <f>Tracks!S$6</f>
        <v>1.9732682045541132</v>
      </c>
      <c r="P112" s="104">
        <f>Tracks!T$6</f>
        <v>1.9323707216941237</v>
      </c>
      <c r="Q112" s="104">
        <f>Tracks!U$6</f>
        <v>1.867784551122151</v>
      </c>
      <c r="R112" s="104">
        <f>Tracks!V$6</f>
        <v>1.7033330509814153</v>
      </c>
      <c r="S112" s="104">
        <f>Tracks!W$6</f>
        <v>1.5117099017022468</v>
      </c>
      <c r="T112" s="104">
        <f>Tracks!X$6</f>
        <v>1.2762818751940017</v>
      </c>
    </row>
    <row r="113" spans="1:20" ht="12.75">
      <c r="A113" s="222" t="s">
        <v>891</v>
      </c>
      <c r="B113" s="58"/>
      <c r="C113" s="99"/>
      <c r="D113" s="99">
        <f>Data!C$87</f>
        <v>0.436</v>
      </c>
      <c r="E113" s="458">
        <f>Data!D$87</f>
        <v>0.385</v>
      </c>
      <c r="F113" s="146">
        <f>Data!E$87</f>
        <v>0.431</v>
      </c>
      <c r="G113" s="146">
        <f>Data!F$87</f>
        <v>0.487</v>
      </c>
      <c r="H113" s="146">
        <f>Data!G$87</f>
        <v>0.562</v>
      </c>
      <c r="I113" s="146">
        <f>Data!H$87</f>
        <v>0.642</v>
      </c>
      <c r="J113" s="146">
        <f>Data!I$87</f>
        <v>0.725</v>
      </c>
      <c r="K113" s="104">
        <f>J$113*Tracks!O$7/Tracks!N$7-(J$115*(Tracks!O$7/Tracks!N$7-1))*J113/SUM(J$113,J$114)</f>
        <v>0.7952306878787309</v>
      </c>
      <c r="L113" s="104">
        <f>K$113*Tracks!P$7/Tracks!O$7-(K$115*(Tracks!P$7/Tracks!O$7-1))*K113/SUM(K$113,K$114)</f>
        <v>0.8894037478998714</v>
      </c>
      <c r="M113" s="104">
        <f>L$113*Tracks!Q$7/Tracks!P$7-(L$115*(Tracks!Q$7/Tracks!P$7-1))*L113/SUM(L$113,L$114)</f>
        <v>0.9881992736776667</v>
      </c>
      <c r="N113" s="104">
        <f>M$113*Tracks!R$7/Tracks!Q$7-(M$115*(Tracks!R$7/Tracks!Q$7-1))*M113/SUM(M$113,M$114)</f>
        <v>1.0929495649016179</v>
      </c>
      <c r="O113" s="104">
        <f>N$113*Tracks!S$7/Tracks!R$7-(N$115*(Tracks!S$7/Tracks!R$7-1))*N113/SUM(N$113,N$114)</f>
        <v>1.2044242437768466</v>
      </c>
      <c r="P113" s="104">
        <f>O$113*Tracks!T$7/Tracks!S$7-(O$115*(Tracks!T$7/Tracks!S$7-1))*O113/SUM(O$113,O$114)</f>
        <v>1.322649248184992</v>
      </c>
      <c r="Q113" s="104">
        <f>P$113*Tracks!U$7/Tracks!T$7-(P$115*(Tracks!U$7/Tracks!T$7-1))*P113/SUM(P$113,P$114)</f>
        <v>1.4474941512560306</v>
      </c>
      <c r="R113" s="104">
        <f>Q$113*Tracks!V$7/Tracks!U$7-(Q$115*(Tracks!V$7/Tracks!U$7-1))*Q113/SUM(Q$113,Q$114)</f>
        <v>1.5780707871966317</v>
      </c>
      <c r="S113" s="104">
        <f>R$113*Tracks!W$7/Tracks!V$7-(R$115*(Tracks!W$7/Tracks!V$7-1))*R113/SUM(R$113,R$114)</f>
        <v>1.7133134722279473</v>
      </c>
      <c r="T113" s="104">
        <f>S$113*Tracks!X$7/Tracks!W$7-(S$115*(Tracks!X$7/Tracks!W$7-1))*S113/SUM(S$113,S$114)</f>
        <v>1.8527540415644803</v>
      </c>
    </row>
    <row r="114" spans="1:20" ht="12.75">
      <c r="A114" s="222" t="s">
        <v>892</v>
      </c>
      <c r="B114" s="58"/>
      <c r="C114" s="99"/>
      <c r="D114" s="99">
        <f>Data!C$89</f>
        <v>1.313</v>
      </c>
      <c r="E114" s="458">
        <f>Data!D$89</f>
        <v>-0.995</v>
      </c>
      <c r="F114" s="146">
        <f>Data!E$89</f>
        <v>1.037</v>
      </c>
      <c r="G114" s="146">
        <f>Data!F$89</f>
        <v>1.321</v>
      </c>
      <c r="H114" s="146">
        <f>Data!G$89</f>
        <v>1.569</v>
      </c>
      <c r="I114" s="146">
        <f>Data!H$89</f>
        <v>1.836</v>
      </c>
      <c r="J114" s="146">
        <f>Data!I$89</f>
        <v>2.114</v>
      </c>
      <c r="K114" s="104">
        <f>J$114*Tracks!O$7/Tracks!N$7-(J$115*(Tracks!O$7/Tracks!N$7-1))*J114/SUM(J$113,J$114)</f>
        <v>2.3187829988629476</v>
      </c>
      <c r="L114" s="104">
        <f>K$114*Tracks!P$7/Tracks!O$7-(K$115*(Tracks!P$7/Tracks!O$7-1))*K114/SUM(K$113,K$114)</f>
        <v>2.5933786524970044</v>
      </c>
      <c r="M114" s="104">
        <f>L$114*Tracks!Q$7/Tracks!P$7-(L$115*(Tracks!Q$7/Tracks!P$7-1))*L114/SUM(L$113,L$114)</f>
        <v>2.8814527786959823</v>
      </c>
      <c r="N114" s="104">
        <f>M$114*Tracks!R$7/Tracks!Q$7-(M$115*(Tracks!R$7/Tracks!Q$7-1))*M114/SUM(M$113,M$114)</f>
        <v>3.186890179588993</v>
      </c>
      <c r="O114" s="104">
        <f>N$114*Tracks!S$7/Tracks!R$7-(N$115*(Tracks!S$7/Tracks!R$7-1))*N114/SUM(N$113,N$114)</f>
        <v>3.511934967371385</v>
      </c>
      <c r="P114" s="104">
        <f>O$114*Tracks!T$7/Tracks!S$7-(O$115*(Tracks!T$7/Tracks!S$7-1))*O114/SUM(O$113,O$114)</f>
        <v>3.8566627733283774</v>
      </c>
      <c r="Q114" s="104">
        <f>P$114*Tracks!U$7/Tracks!T$7-(P$115*(Tracks!U$7/Tracks!T$7-1))*P114/SUM(P$113,P$114)</f>
        <v>4.220693290696896</v>
      </c>
      <c r="R114" s="104">
        <f>Q$114*Tracks!V$7/Tracks!U$7-(Q$115*(Tracks!V$7/Tracks!U$7-1))*Q114/SUM(Q$113,Q$114)</f>
        <v>4.601436750529213</v>
      </c>
      <c r="S114" s="104">
        <f>R$114*Tracks!W$7/Tracks!V$7-(R$115*(Tracks!W$7/Tracks!V$7-1))*R114/SUM(R$113,R$114)</f>
        <v>4.995785765917075</v>
      </c>
      <c r="T114" s="104">
        <f>S$114*Tracks!X$7/Tracks!W$7-(S$115*(Tracks!X$7/Tracks!W$7-1))*S114/SUM(S$113,S$114)</f>
        <v>5.402375232920428</v>
      </c>
    </row>
    <row r="115" spans="1:21" s="108" customFormat="1" ht="12.75">
      <c r="A115" s="222" t="s">
        <v>276</v>
      </c>
      <c r="B115" s="139"/>
      <c r="C115" s="121"/>
      <c r="D115" s="121">
        <f>Data!C88</f>
        <v>-0.052</v>
      </c>
      <c r="E115" s="459">
        <f>Data!D88</f>
        <v>0.017</v>
      </c>
      <c r="F115" s="289">
        <f>Data!E88</f>
        <v>0.15599999999999992</v>
      </c>
      <c r="G115" s="289">
        <f>Data!F88</f>
        <v>0.17</v>
      </c>
      <c r="H115" s="289">
        <f>Data!G88</f>
        <v>0.19599999999999995</v>
      </c>
      <c r="I115" s="289">
        <f>Data!H88</f>
        <v>0.22100000000000009</v>
      </c>
      <c r="J115" s="289">
        <f>Data!I88</f>
        <v>0.245</v>
      </c>
      <c r="K115" s="140">
        <f aca="true" t="shared" si="53" ref="K115:S115">J$115</f>
        <v>0.245</v>
      </c>
      <c r="L115" s="140">
        <f t="shared" si="53"/>
        <v>0.245</v>
      </c>
      <c r="M115" s="140">
        <f t="shared" si="53"/>
        <v>0.245</v>
      </c>
      <c r="N115" s="140">
        <f t="shared" si="53"/>
        <v>0.245</v>
      </c>
      <c r="O115" s="140">
        <f t="shared" si="53"/>
        <v>0.245</v>
      </c>
      <c r="P115" s="140">
        <f t="shared" si="53"/>
        <v>0.245</v>
      </c>
      <c r="Q115" s="140">
        <f t="shared" si="53"/>
        <v>0.245</v>
      </c>
      <c r="R115" s="140">
        <f t="shared" si="53"/>
        <v>0.245</v>
      </c>
      <c r="S115" s="140">
        <f t="shared" si="53"/>
        <v>0.245</v>
      </c>
      <c r="T115" s="140">
        <f>S$115</f>
        <v>0.245</v>
      </c>
      <c r="U115" s="140"/>
    </row>
    <row r="116" spans="1:21" s="304" customFormat="1" ht="12.75">
      <c r="A116" s="389" t="s">
        <v>147</v>
      </c>
      <c r="B116" s="297"/>
      <c r="C116" s="247"/>
      <c r="D116" s="247">
        <f>Data!C$90</f>
        <v>0.707</v>
      </c>
      <c r="E116" s="457">
        <f>Data!D$90</f>
        <v>0.237</v>
      </c>
      <c r="F116" s="224">
        <f>Data!E$90</f>
        <v>0.326</v>
      </c>
      <c r="G116" s="224">
        <f>Data!F$90</f>
        <v>0.419</v>
      </c>
      <c r="H116" s="224">
        <f>Data!G$90</f>
        <v>0.494</v>
      </c>
      <c r="I116" s="224">
        <f>Data!H$90</f>
        <v>0.574</v>
      </c>
      <c r="J116" s="224">
        <f>Data!I$90</f>
        <v>0.655</v>
      </c>
      <c r="K116" s="303">
        <f>Tracks!O$8</f>
        <v>0.6885632848180028</v>
      </c>
      <c r="L116" s="303">
        <f>Tracks!P$8</f>
        <v>0.7770677760952501</v>
      </c>
      <c r="M116" s="303">
        <f>Tracks!Q$8</f>
        <v>0.8699164925696756</v>
      </c>
      <c r="N116" s="303">
        <f>Tracks!R$8</f>
        <v>0.9683615386777464</v>
      </c>
      <c r="O116" s="303">
        <f>Tracks!S$8</f>
        <v>1.0731262106755755</v>
      </c>
      <c r="P116" s="303">
        <f>Tracks!T$8</f>
        <v>1.1842348851632085</v>
      </c>
      <c r="Q116" s="303">
        <f>Tracks!U$8</f>
        <v>1.3015649860687022</v>
      </c>
      <c r="R116" s="303">
        <f>Tracks!V$8</f>
        <v>1.4242818090542027</v>
      </c>
      <c r="S116" s="303">
        <f>Tracks!W$8</f>
        <v>1.5513838171548053</v>
      </c>
      <c r="T116" s="303">
        <f>Tracks!X$8</f>
        <v>1.6824310258763777</v>
      </c>
      <c r="U116" s="303"/>
    </row>
    <row r="117" spans="1:21" ht="12.75">
      <c r="A117" s="46" t="s">
        <v>581</v>
      </c>
      <c r="B117" s="58"/>
      <c r="C117" s="99"/>
      <c r="D117" s="101">
        <f aca="true" t="shared" si="54" ref="D117:I117">SUM(D$111:D$114)-D115-D$116</f>
        <v>12.973</v>
      </c>
      <c r="E117" s="460">
        <f t="shared" si="54"/>
        <v>14.212000000000002</v>
      </c>
      <c r="F117" s="174">
        <f t="shared" si="54"/>
        <v>17.44</v>
      </c>
      <c r="G117" s="174">
        <f t="shared" si="54"/>
        <v>20.636</v>
      </c>
      <c r="H117" s="174">
        <f t="shared" si="54"/>
        <v>24.173</v>
      </c>
      <c r="I117" s="174">
        <f t="shared" si="54"/>
        <v>28.022999999999993</v>
      </c>
      <c r="J117" s="174">
        <f>SUM(J$111:J$114)-J115-J$116</f>
        <v>32.15599999999999</v>
      </c>
      <c r="K117" s="106">
        <f aca="true" t="shared" si="55" ref="K117:S117">SUM(K$111:K$114)-K$116-K115</f>
        <v>36.46441802093435</v>
      </c>
      <c r="L117" s="106">
        <f t="shared" si="55"/>
        <v>40.958045391346786</v>
      </c>
      <c r="M117" s="106">
        <f t="shared" si="55"/>
        <v>45.70122028977668</v>
      </c>
      <c r="N117" s="106">
        <f t="shared" si="55"/>
        <v>50.753780902333396</v>
      </c>
      <c r="O117" s="106">
        <f t="shared" si="55"/>
        <v>56.125282107360164</v>
      </c>
      <c r="P117" s="106">
        <f t="shared" si="55"/>
        <v>61.807729965404455</v>
      </c>
      <c r="Q117" s="106">
        <f t="shared" si="55"/>
        <v>67.79713697241084</v>
      </c>
      <c r="R117" s="106">
        <f t="shared" si="55"/>
        <v>74.0106957520639</v>
      </c>
      <c r="S117" s="106">
        <f t="shared" si="55"/>
        <v>80.43512107475637</v>
      </c>
      <c r="T117" s="106">
        <f>SUM(T$111:T$114)-T$116-T115</f>
        <v>87.0391011985589</v>
      </c>
      <c r="U117" s="106"/>
    </row>
    <row r="118" spans="1:21" ht="12.75">
      <c r="A118" s="150" t="s">
        <v>146</v>
      </c>
      <c r="B118" s="64"/>
      <c r="C118" s="99"/>
      <c r="D118" s="101"/>
      <c r="E118" s="460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1:20" ht="12.75">
      <c r="A119" s="50" t="s">
        <v>733</v>
      </c>
      <c r="B119" s="58"/>
      <c r="C119" s="99"/>
      <c r="D119" s="99">
        <f>Data!C$149</f>
        <v>11.663</v>
      </c>
      <c r="E119" s="458">
        <f>Data!D$149</f>
        <v>13.382</v>
      </c>
      <c r="F119" s="146">
        <f>Data!E$149</f>
        <v>15.914</v>
      </c>
      <c r="G119" s="146">
        <f>Data!F$149</f>
        <v>18.851</v>
      </c>
      <c r="H119" s="146">
        <f>Data!G$149</f>
        <v>22.139</v>
      </c>
      <c r="I119" s="146">
        <f>Data!H$149</f>
        <v>25.779</v>
      </c>
      <c r="J119" s="146">
        <f>Data!I$149</f>
        <v>29.729</v>
      </c>
      <c r="K119" s="104">
        <f aca="true" t="shared" si="56" ref="K119:S119">J$119*K$117/J$117</f>
        <v>33.712236700595774</v>
      </c>
      <c r="L119" s="104">
        <f t="shared" si="56"/>
        <v>37.86670392584118</v>
      </c>
      <c r="M119" s="104">
        <f t="shared" si="56"/>
        <v>42.25188387842926</v>
      </c>
      <c r="N119" s="104">
        <f t="shared" si="56"/>
        <v>46.923098409176205</v>
      </c>
      <c r="O119" s="104">
        <f t="shared" si="56"/>
        <v>51.88918123428632</v>
      </c>
      <c r="P119" s="104">
        <f t="shared" si="56"/>
        <v>57.14274176332596</v>
      </c>
      <c r="Q119" s="104">
        <f t="shared" si="56"/>
        <v>62.680093452320016</v>
      </c>
      <c r="R119" s="104">
        <f t="shared" si="56"/>
        <v>68.42467887837753</v>
      </c>
      <c r="S119" s="104">
        <f t="shared" si="56"/>
        <v>74.36421552529644</v>
      </c>
      <c r="T119" s="104">
        <f>S$119*T$117/S$117</f>
        <v>80.4697549300895</v>
      </c>
    </row>
    <row r="120" spans="1:20" ht="12.75">
      <c r="A120" s="50" t="s">
        <v>477</v>
      </c>
      <c r="B120" s="58"/>
      <c r="C120" s="99"/>
      <c r="D120" s="99">
        <f>Data!C$156+Data!C$94*0</f>
        <v>12.523388</v>
      </c>
      <c r="E120" s="458">
        <f>Data!D$156+Data!D$94*0</f>
        <v>13.610709</v>
      </c>
      <c r="F120" s="146">
        <f>Data!E$156+Data!E$94*0</f>
        <v>16.317892</v>
      </c>
      <c r="G120" s="146">
        <f>Data!F$156+Data!F$94*0</f>
        <v>19.364324000000003</v>
      </c>
      <c r="H120" s="146">
        <f>Data!G$156+Data!G$94*0</f>
        <v>22.767123</v>
      </c>
      <c r="I120" s="146">
        <f>Data!H$156+Data!H$94*0</f>
        <v>26.547108</v>
      </c>
      <c r="J120" s="146">
        <f>Data!I$156+Data!I$94*0</f>
        <v>30.645744</v>
      </c>
      <c r="K120" s="104">
        <f aca="true" t="shared" si="57" ref="K120:S120">J$120*K$117/J$117</f>
        <v>34.751810541688684</v>
      </c>
      <c r="L120" s="104">
        <f t="shared" si="57"/>
        <v>39.034387790881766</v>
      </c>
      <c r="M120" s="104">
        <f t="shared" si="57"/>
        <v>43.554792184603265</v>
      </c>
      <c r="N120" s="104">
        <f t="shared" si="57"/>
        <v>48.370051516513215</v>
      </c>
      <c r="O120" s="104">
        <f t="shared" si="57"/>
        <v>53.48927190539685</v>
      </c>
      <c r="P120" s="104">
        <f t="shared" si="57"/>
        <v>58.904834859463705</v>
      </c>
      <c r="Q120" s="104">
        <f t="shared" si="57"/>
        <v>64.61294015391961</v>
      </c>
      <c r="R120" s="104">
        <f t="shared" si="57"/>
        <v>70.53466958824602</v>
      </c>
      <c r="S120" s="104">
        <f t="shared" si="57"/>
        <v>76.65736189407855</v>
      </c>
      <c r="T120" s="104">
        <f>S$120*T$117/S$117</f>
        <v>82.95117593360898</v>
      </c>
    </row>
    <row r="121" spans="1:20" ht="12.75">
      <c r="A121" s="50" t="s">
        <v>732</v>
      </c>
      <c r="B121" s="58"/>
      <c r="C121" s="99"/>
      <c r="D121" s="99">
        <f>Data!C$191</f>
        <v>0.017119000000000002</v>
      </c>
      <c r="E121" s="458">
        <f>Data!D$191</f>
        <v>0.037565</v>
      </c>
      <c r="F121" s="146">
        <f>Data!E$191</f>
        <v>0.035134</v>
      </c>
      <c r="G121" s="146">
        <f>Data!F$191</f>
        <v>0.039605</v>
      </c>
      <c r="H121" s="146">
        <f>Data!G$191</f>
        <v>0.044326</v>
      </c>
      <c r="I121" s="146">
        <f>Data!H$191</f>
        <v>0.049954</v>
      </c>
      <c r="J121" s="146">
        <f>Data!I$191</f>
        <v>0.057852</v>
      </c>
      <c r="K121" s="104">
        <f aca="true" t="shared" si="58" ref="K121:S121">J$121*K$113/J$113</f>
        <v>0.06345611828297978</v>
      </c>
      <c r="L121" s="104">
        <f t="shared" si="58"/>
        <v>0.07097073879103913</v>
      </c>
      <c r="M121" s="104">
        <f t="shared" si="58"/>
        <v>0.07885421293903501</v>
      </c>
      <c r="N121" s="104">
        <f t="shared" si="58"/>
        <v>0.08721285272922538</v>
      </c>
      <c r="O121" s="104">
        <f t="shared" si="58"/>
        <v>0.09610807082893535</v>
      </c>
      <c r="P121" s="104">
        <f t="shared" si="58"/>
        <v>0.10554193697379058</v>
      </c>
      <c r="Q121" s="104">
        <f t="shared" si="58"/>
        <v>0.11550404363926055</v>
      </c>
      <c r="R121" s="104">
        <f t="shared" si="58"/>
        <v>0.12592351887020628</v>
      </c>
      <c r="S121" s="104">
        <f t="shared" si="58"/>
        <v>0.13671532551080168</v>
      </c>
      <c r="T121" s="104">
        <f>S$121*T$113/S$113</f>
        <v>0.1478421059483977</v>
      </c>
    </row>
    <row r="122" spans="1:20" ht="12.75">
      <c r="A122" s="50" t="s">
        <v>701</v>
      </c>
      <c r="B122" s="58"/>
      <c r="C122" s="99"/>
      <c r="D122" s="99">
        <f>Data!C190</f>
        <v>0.119</v>
      </c>
      <c r="E122" s="458">
        <f>Data!D190</f>
        <v>0.097</v>
      </c>
      <c r="F122" s="146">
        <f>Data!E190</f>
        <v>0.138</v>
      </c>
      <c r="G122" s="146">
        <f>Data!F190</f>
        <v>0.149</v>
      </c>
      <c r="H122" s="146">
        <f>Data!G190</f>
        <v>0.173</v>
      </c>
      <c r="I122" s="146">
        <f>Data!H190</f>
        <v>0.198</v>
      </c>
      <c r="J122" s="146">
        <f>Data!I190</f>
        <v>0.22</v>
      </c>
      <c r="K122" s="104">
        <f aca="true" t="shared" si="59" ref="K122:T122">J122</f>
        <v>0.22</v>
      </c>
      <c r="L122" s="104">
        <f t="shared" si="59"/>
        <v>0.22</v>
      </c>
      <c r="M122" s="104">
        <f t="shared" si="59"/>
        <v>0.22</v>
      </c>
      <c r="N122" s="104">
        <f t="shared" si="59"/>
        <v>0.22</v>
      </c>
      <c r="O122" s="104">
        <f t="shared" si="59"/>
        <v>0.22</v>
      </c>
      <c r="P122" s="104">
        <f t="shared" si="59"/>
        <v>0.22</v>
      </c>
      <c r="Q122" s="104">
        <f t="shared" si="59"/>
        <v>0.22</v>
      </c>
      <c r="R122" s="104">
        <f t="shared" si="59"/>
        <v>0.22</v>
      </c>
      <c r="S122" s="104">
        <f t="shared" si="59"/>
        <v>0.22</v>
      </c>
      <c r="T122" s="104">
        <f t="shared" si="59"/>
        <v>0.22</v>
      </c>
    </row>
    <row r="123" spans="1:21" ht="12.75">
      <c r="A123" s="45"/>
      <c r="B123" s="64"/>
      <c r="C123" s="99"/>
      <c r="D123" s="249"/>
      <c r="E123" s="4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2.75">
      <c r="A124" s="150" t="s">
        <v>808</v>
      </c>
      <c r="C124" s="99"/>
      <c r="D124" s="99"/>
      <c r="E124" s="4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0" ht="12.75">
      <c r="A125" s="50" t="s">
        <v>820</v>
      </c>
      <c r="B125" s="58"/>
      <c r="C125" s="99"/>
      <c r="D125" s="99">
        <f>Data!C$79</f>
        <v>17.418</v>
      </c>
      <c r="E125" s="458">
        <f>Data!D$79</f>
        <v>20.484</v>
      </c>
      <c r="F125" s="146">
        <f>Data!E$79</f>
        <v>21.982</v>
      </c>
      <c r="G125" s="146">
        <f>Data!F$79</f>
        <v>23.425</v>
      </c>
      <c r="H125" s="146">
        <f>Data!G$79</f>
        <v>24.902</v>
      </c>
      <c r="I125" s="146">
        <f>Data!H$79</f>
        <v>26.453</v>
      </c>
      <c r="J125" s="146">
        <f>Data!I$79</f>
        <v>28.073</v>
      </c>
      <c r="K125" s="104">
        <f aca="true" t="shared" si="60" ref="K125:T125">J$125*IF(K$1="Proj Yr1",AVERAGE(H$125/G$125,I$125/H$125,J$125/I$125),J$125/I$125)</f>
        <v>29.818926678848303</v>
      </c>
      <c r="L125" s="104">
        <f t="shared" si="60"/>
        <v>31.673436692855454</v>
      </c>
      <c r="M125" s="104">
        <f t="shared" si="60"/>
        <v>33.64328309804439</v>
      </c>
      <c r="N125" s="104">
        <f t="shared" si="60"/>
        <v>35.735638939063236</v>
      </c>
      <c r="O125" s="104">
        <f t="shared" si="60"/>
        <v>37.95812336927735</v>
      </c>
      <c r="P125" s="104">
        <f t="shared" si="60"/>
        <v>40.31882939533216</v>
      </c>
      <c r="Q125" s="104">
        <f t="shared" si="60"/>
        <v>42.826353347216305</v>
      </c>
      <c r="R125" s="104">
        <f t="shared" si="60"/>
        <v>45.4898261811382</v>
      </c>
      <c r="S125" s="104">
        <f t="shared" si="60"/>
        <v>48.318946729202935</v>
      </c>
      <c r="T125" s="104">
        <f t="shared" si="60"/>
        <v>51.32401701696575</v>
      </c>
    </row>
    <row r="126" spans="1:20" ht="12.75">
      <c r="A126" s="50" t="s">
        <v>745</v>
      </c>
      <c r="B126" s="58"/>
      <c r="C126" s="99"/>
      <c r="D126" s="99">
        <f>Data!C$157</f>
        <v>11.264213</v>
      </c>
      <c r="E126" s="458">
        <f>Data!D$157</f>
        <v>12.496216</v>
      </c>
      <c r="F126" s="146">
        <f>Data!E$157</f>
        <v>13.154606000000001</v>
      </c>
      <c r="G126" s="146">
        <f>Data!F$157</f>
        <v>14.057955999999999</v>
      </c>
      <c r="H126" s="146">
        <f>Data!G$157</f>
        <v>14.933968</v>
      </c>
      <c r="I126" s="146">
        <f>Data!H$157</f>
        <v>15.616845999999999</v>
      </c>
      <c r="J126" s="146">
        <f>Data!I$157</f>
        <v>16.055515</v>
      </c>
      <c r="K126" s="104">
        <f aca="true" t="shared" si="61" ref="K126:T126">K$125*IF(K$1="Proj Yr1",AVERAGE(H$126/H$125,I$126/I$125,J$126/J$125),J$126/J$125)</f>
        <v>17.513567645356524</v>
      </c>
      <c r="L126" s="104">
        <f t="shared" si="61"/>
        <v>18.60277809646052</v>
      </c>
      <c r="M126" s="104">
        <f t="shared" si="61"/>
        <v>19.75972913764975</v>
      </c>
      <c r="N126" s="104">
        <f t="shared" si="61"/>
        <v>20.98863371743242</v>
      </c>
      <c r="O126" s="104">
        <f t="shared" si="61"/>
        <v>22.29396679761054</v>
      </c>
      <c r="P126" s="104">
        <f t="shared" si="61"/>
        <v>23.680481648510217</v>
      </c>
      <c r="Q126" s="104">
        <f t="shared" si="61"/>
        <v>25.153227157651084</v>
      </c>
      <c r="R126" s="104">
        <f t="shared" si="61"/>
        <v>26.717566214883114</v>
      </c>
      <c r="S126" s="104">
        <f t="shared" si="61"/>
        <v>28.379195240938774</v>
      </c>
      <c r="T126" s="104">
        <f t="shared" si="61"/>
        <v>30.14416493051238</v>
      </c>
    </row>
    <row r="127" spans="1:20" ht="12.75">
      <c r="A127" s="50" t="s">
        <v>747</v>
      </c>
      <c r="B127" s="58"/>
      <c r="C127" s="99"/>
      <c r="D127" s="99">
        <f>Data!C$151</f>
        <v>9.0113704</v>
      </c>
      <c r="E127" s="458">
        <f>Data!D$151</f>
        <v>10.017</v>
      </c>
      <c r="F127" s="146">
        <f>Data!E$151</f>
        <v>10.017</v>
      </c>
      <c r="G127" s="146">
        <f>Data!F$151</f>
        <v>10.966999999999999</v>
      </c>
      <c r="H127" s="146">
        <f>Data!G$151</f>
        <v>11.953</v>
      </c>
      <c r="I127" s="146">
        <f>Data!H$151</f>
        <v>12.942</v>
      </c>
      <c r="J127" s="146">
        <f>Data!I$151</f>
        <v>13.838000000000001</v>
      </c>
      <c r="K127" s="104">
        <f aca="true" t="shared" si="62" ref="K127:T127">K$126*IF(K$1="Proj Yr1",AVERAGE(H$127/H$126,I$127/I$126,J$127/J$126),J$127/J$126)</f>
        <v>14.542070357123306</v>
      </c>
      <c r="L127" s="104">
        <f t="shared" si="62"/>
        <v>15.44647632022631</v>
      </c>
      <c r="M127" s="104">
        <f t="shared" si="62"/>
        <v>16.40712944250329</v>
      </c>
      <c r="N127" s="104">
        <f t="shared" si="62"/>
        <v>17.427527868641715</v>
      </c>
      <c r="O127" s="104">
        <f t="shared" si="62"/>
        <v>18.51138730127214</v>
      </c>
      <c r="P127" s="104">
        <f t="shared" si="62"/>
        <v>19.66265453141444</v>
      </c>
      <c r="Q127" s="104">
        <f t="shared" si="62"/>
        <v>20.885521810414687</v>
      </c>
      <c r="R127" s="104">
        <f t="shared" si="62"/>
        <v>22.184442115707004</v>
      </c>
      <c r="S127" s="104">
        <f t="shared" si="62"/>
        <v>23.56414536598944</v>
      </c>
      <c r="T127" s="104">
        <f t="shared" si="62"/>
        <v>25.029655644860263</v>
      </c>
    </row>
    <row r="128" spans="1:20" ht="12.75">
      <c r="A128" s="50" t="s">
        <v>128</v>
      </c>
      <c r="B128" s="58"/>
      <c r="C128" s="99"/>
      <c r="D128" s="99">
        <f>Data!C$192</f>
        <v>0.37689700000000004</v>
      </c>
      <c r="E128" s="458">
        <f>Data!D$192</f>
        <v>0.528622</v>
      </c>
      <c r="F128" s="146">
        <f>Data!E$192</f>
        <v>0.567037</v>
      </c>
      <c r="G128" s="146">
        <f>Data!F$192</f>
        <v>0.609506</v>
      </c>
      <c r="H128" s="146">
        <f>Data!G$192</f>
        <v>0.651503</v>
      </c>
      <c r="I128" s="146">
        <f>Data!H$192</f>
        <v>0.684283</v>
      </c>
      <c r="J128" s="146">
        <f>Data!I$192</f>
        <v>0.703406</v>
      </c>
      <c r="K128" s="104">
        <f aca="true" t="shared" si="63" ref="K128:S128">J$128*K$127/J$127</f>
        <v>0.7391949372469053</v>
      </c>
      <c r="L128" s="104">
        <f t="shared" si="63"/>
        <v>0.785167229549437</v>
      </c>
      <c r="M128" s="104">
        <f t="shared" si="63"/>
        <v>0.833998648116308</v>
      </c>
      <c r="N128" s="104">
        <f t="shared" si="63"/>
        <v>0.8858670088141202</v>
      </c>
      <c r="O128" s="104">
        <f t="shared" si="63"/>
        <v>0.9409611863013898</v>
      </c>
      <c r="P128" s="104">
        <f t="shared" si="63"/>
        <v>0.999481801801135</v>
      </c>
      <c r="Q128" s="104">
        <f t="shared" si="63"/>
        <v>1.0616419536476769</v>
      </c>
      <c r="R128" s="104">
        <f t="shared" si="63"/>
        <v>1.1276679932678855</v>
      </c>
      <c r="S128" s="104">
        <f t="shared" si="63"/>
        <v>1.1978003494225442</v>
      </c>
      <c r="T128" s="104">
        <f>S$128*T$127/S$127</f>
        <v>1.2722944037092483</v>
      </c>
    </row>
    <row r="129" spans="1:20" ht="12.75">
      <c r="A129" s="50" t="s">
        <v>491</v>
      </c>
      <c r="B129" s="58"/>
      <c r="C129" s="99"/>
      <c r="D129" s="99">
        <f>Data!C$193</f>
        <v>0.002378</v>
      </c>
      <c r="E129" s="458">
        <f>Data!D$193</f>
        <v>0.112836</v>
      </c>
      <c r="F129" s="146">
        <f>Data!E$193</f>
        <v>0.12086000000000001</v>
      </c>
      <c r="G129" s="146">
        <f>Data!F$193</f>
        <v>0.129731</v>
      </c>
      <c r="H129" s="146">
        <f>Data!G$193</f>
        <v>0.13850300000000001</v>
      </c>
      <c r="I129" s="146">
        <f>Data!H$193</f>
        <v>0.14535</v>
      </c>
      <c r="J129" s="146">
        <f>Data!I$193</f>
        <v>0.149344</v>
      </c>
      <c r="K129" s="104">
        <f aca="true" t="shared" si="64" ref="K129:S129">J$129*K$128/J$128</f>
        <v>0.15694254627939175</v>
      </c>
      <c r="L129" s="104">
        <f t="shared" si="64"/>
        <v>0.16670317672842017</v>
      </c>
      <c r="M129" s="104">
        <f t="shared" si="64"/>
        <v>0.17707084401367335</v>
      </c>
      <c r="N129" s="104">
        <f t="shared" si="64"/>
        <v>0.18808330120063801</v>
      </c>
      <c r="O129" s="104">
        <f t="shared" si="64"/>
        <v>0.19978064930778922</v>
      </c>
      <c r="P129" s="104">
        <f t="shared" si="64"/>
        <v>0.21220548333137437</v>
      </c>
      <c r="Q129" s="104">
        <f t="shared" si="64"/>
        <v>0.22540304735182623</v>
      </c>
      <c r="R129" s="104">
        <f t="shared" si="64"/>
        <v>0.23942139928661274</v>
      </c>
      <c r="S129" s="104">
        <f t="shared" si="64"/>
        <v>0.25431158588945857</v>
      </c>
      <c r="T129" s="104">
        <f>S$129*T$128/S$128</f>
        <v>0.27012782863318485</v>
      </c>
    </row>
    <row r="130" spans="1:20" ht="12.75">
      <c r="A130" s="50" t="s">
        <v>931</v>
      </c>
      <c r="B130" s="58"/>
      <c r="C130" s="99"/>
      <c r="D130" s="99">
        <f>Data!C$194-(D$125-C$125)-D$131</f>
        <v>-16.329058</v>
      </c>
      <c r="E130" s="458">
        <f>Data!D$194-(E$125-D$125)-E$131</f>
        <v>-1.5929400000000022</v>
      </c>
      <c r="F130" s="146">
        <f>Data!E$194-(F$125-E$125)-F$131</f>
        <v>-0.4801009999999968</v>
      </c>
      <c r="G130" s="146">
        <f>Data!F$194-(G$125-F$125)-G$131</f>
        <v>-0.3581550000000009</v>
      </c>
      <c r="H130" s="146">
        <f>Data!G$194-(H$125-G$125)-H$131</f>
        <v>-0.32553700000000063</v>
      </c>
      <c r="I130" s="146">
        <f>Data!H$194-(I$125-H$125)-I$131</f>
        <v>-0.33113299999999857</v>
      </c>
      <c r="J130" s="146">
        <f>Data!I$194-(J$125-I$125)-J$131</f>
        <v>-0.3421730000000007</v>
      </c>
      <c r="K130" s="104">
        <f aca="true" t="shared" si="65" ref="K130:T130">SUM(J$130,J$125-I$125,J$131)*(1+K$212)-SUM(K$125-J$125,K$131)</f>
        <v>-0.4066757719048004</v>
      </c>
      <c r="L130" s="104">
        <f t="shared" si="65"/>
        <v>-0.46123096551111153</v>
      </c>
      <c r="M130" s="104">
        <f t="shared" si="65"/>
        <v>-0.4908522421372412</v>
      </c>
      <c r="N130" s="104">
        <f t="shared" si="65"/>
        <v>-0.4944046578527006</v>
      </c>
      <c r="O130" s="104">
        <f t="shared" si="65"/>
        <v>-0.5034646933286542</v>
      </c>
      <c r="P130" s="104">
        <f t="shared" si="65"/>
        <v>-0.5243004748879745</v>
      </c>
      <c r="Q130" s="104">
        <f t="shared" si="65"/>
        <v>-0.5602734617832077</v>
      </c>
      <c r="R130" s="104">
        <f t="shared" si="65"/>
        <v>-0.6052856982870107</v>
      </c>
      <c r="S130" s="104">
        <f t="shared" si="65"/>
        <v>-0.6622625398297046</v>
      </c>
      <c r="T130" s="104">
        <f t="shared" si="65"/>
        <v>-0.7517057741226179</v>
      </c>
    </row>
    <row r="131" spans="1:20" ht="12.75">
      <c r="A131" s="50" t="s">
        <v>683</v>
      </c>
      <c r="B131" s="58"/>
      <c r="C131" s="99"/>
      <c r="D131" s="99">
        <f>Data!C$142</f>
        <v>3.143</v>
      </c>
      <c r="E131" s="458">
        <f>Data!D$142</f>
        <v>3.423</v>
      </c>
      <c r="F131" s="146">
        <f>Data!E$142</f>
        <v>4.02</v>
      </c>
      <c r="G131" s="146">
        <f>Data!F$142</f>
        <v>4.153</v>
      </c>
      <c r="H131" s="146">
        <f>Data!G$142</f>
        <v>4.436</v>
      </c>
      <c r="I131" s="146">
        <f>Data!H$142</f>
        <v>4.751</v>
      </c>
      <c r="J131" s="146">
        <f>Data!I$142</f>
        <v>5.074</v>
      </c>
      <c r="K131" s="104">
        <f aca="true" t="shared" si="66" ref="K131:T131">J$131*(1+K$215)*(1+K$230)*K$132/J$132</f>
        <v>5.28572654142084</v>
      </c>
      <c r="L131" s="104">
        <f t="shared" si="66"/>
        <v>5.494981988775677</v>
      </c>
      <c r="M131" s="104">
        <f t="shared" si="66"/>
        <v>5.707954801173499</v>
      </c>
      <c r="N131" s="104">
        <f t="shared" si="66"/>
        <v>5.928262638686472</v>
      </c>
      <c r="O131" s="104">
        <f t="shared" si="66"/>
        <v>6.153684285557314</v>
      </c>
      <c r="P131" s="104">
        <f t="shared" si="66"/>
        <v>6.390176267933816</v>
      </c>
      <c r="Q131" s="104">
        <f t="shared" si="66"/>
        <v>6.641429988098129</v>
      </c>
      <c r="R131" s="104">
        <f t="shared" si="66"/>
        <v>6.90072768402209</v>
      </c>
      <c r="S131" s="104">
        <f t="shared" si="66"/>
        <v>7.174450126379094</v>
      </c>
      <c r="T131" s="104">
        <f t="shared" si="66"/>
        <v>7.47158418252742</v>
      </c>
    </row>
    <row r="132" spans="1:20" ht="12.75">
      <c r="A132" s="150" t="s">
        <v>809</v>
      </c>
      <c r="B132" s="58"/>
      <c r="C132" s="99"/>
      <c r="D132" s="99">
        <f>SUM(SUM(Popn!D$9:D$13)*Tracks!$C$36,SUM(Popn!D$103:D$107)*Tracks!$B$36,SUM(Popn!D$14:D$18)*Tracks!$C$37,SUM(Popn!D$108:D$112)*Tracks!$B$37,SUM(Popn!D$19:D$23)*Tracks!$C$38,SUM(Popn!D$113:D$117)*Tracks!$B$38,SUM(Popn!D$24:D$28)*Tracks!$C$39,SUM(Popn!D$118:D$122)*Tracks!$B$39,SUM(Popn!D$29:D$38)*Tracks!$C$40,SUM(Popn!D$123:D$132)*Tracks!$B$40,SUM(Popn!D$39:D$48)*Tracks!$C$41,SUM(Popn!D$133:D$142)*Tracks!$B$41,SUM(Popn!D$49:D$58)*Tracks!$C$42,SUM(Popn!D$143:D$152)*Tracks!$B$42,SUM(Popn!D$59:D$68)*Tracks!$C$43,SUM(Popn!D$153:D$162)*Tracks!$B$43,SUM(Popn!D$69:D$73)*Tracks!$C$44,SUM(Popn!D$163:D$167)*Tracks!$B$44,SUM(Popn!D$74:D$99)*Tracks!$C$45,SUM(Popn!D$168:D$193)*Tracks!$B$45)/1000000000</f>
        <v>5.5419</v>
      </c>
      <c r="E132" s="458">
        <f>SUM(SUM(Popn!E$9:E$13)*Tracks!$C$36,SUM(Popn!E$103:E$107)*Tracks!$B$36,SUM(Popn!E$14:E$18)*Tracks!$C$37,SUM(Popn!E$108:E$112)*Tracks!$B$37,SUM(Popn!E$19:E$23)*Tracks!$C$38,SUM(Popn!E$113:E$117)*Tracks!$B$38,SUM(Popn!E$24:E$28)*Tracks!$C$39,SUM(Popn!E$118:E$122)*Tracks!$B$39,SUM(Popn!E$29:E$38)*Tracks!$C$40,SUM(Popn!E$123:E$132)*Tracks!$B$40,SUM(Popn!E$39:E$48)*Tracks!$C$41,SUM(Popn!E$133:E$142)*Tracks!$B$41,SUM(Popn!E$49:E$58)*Tracks!$C$42,SUM(Popn!E$143:E$152)*Tracks!$B$42,SUM(Popn!E$59:E$68)*Tracks!$C$43,SUM(Popn!E$153:E$162)*Tracks!$B$43,SUM(Popn!E$69:E$73)*Tracks!$C$44,SUM(Popn!E$163:E$167)*Tracks!$B$44,SUM(Popn!E$74:E$99)*Tracks!$C$45,SUM(Popn!E$168:E$193)*Tracks!$B$45)/1000000000</f>
        <v>5.60069274</v>
      </c>
      <c r="F132" s="146">
        <f>SUM(SUM(Popn!F$9:F$13)*Tracks!$C$36,SUM(Popn!F$103:F$107)*Tracks!$B$36,SUM(Popn!F$14:F$18)*Tracks!$C$37,SUM(Popn!F$108:F$112)*Tracks!$B$37,SUM(Popn!F$19:F$23)*Tracks!$C$38,SUM(Popn!F$113:F$117)*Tracks!$B$38,SUM(Popn!F$24:F$28)*Tracks!$C$39,SUM(Popn!F$118:F$122)*Tracks!$B$39,SUM(Popn!F$29:F$38)*Tracks!$C$40,SUM(Popn!F$123:F$132)*Tracks!$B$40,SUM(Popn!F$39:F$48)*Tracks!$C$41,SUM(Popn!F$133:F$142)*Tracks!$B$41,SUM(Popn!F$49:F$58)*Tracks!$C$42,SUM(Popn!F$143:F$152)*Tracks!$B$42,SUM(Popn!F$59:F$68)*Tracks!$C$43,SUM(Popn!F$153:F$162)*Tracks!$B$43,SUM(Popn!F$69:F$73)*Tracks!$C$44,SUM(Popn!F$163:F$167)*Tracks!$B$44,SUM(Popn!F$74:F$99)*Tracks!$C$45,SUM(Popn!F$168:F$193)*Tracks!$B$45)/1000000000</f>
        <v>5.65414827</v>
      </c>
      <c r="G132" s="146">
        <f>SUM(SUM(Popn!G$9:G$13)*Tracks!$C$36,SUM(Popn!G$103:G$107)*Tracks!$B$36,SUM(Popn!G$14:G$18)*Tracks!$C$37,SUM(Popn!G$108:G$112)*Tracks!$B$37,SUM(Popn!G$19:G$23)*Tracks!$C$38,SUM(Popn!G$113:G$117)*Tracks!$B$38,SUM(Popn!G$24:G$28)*Tracks!$C$39,SUM(Popn!G$118:G$122)*Tracks!$B$39,SUM(Popn!G$29:G$38)*Tracks!$C$40,SUM(Popn!G$123:G$132)*Tracks!$B$40,SUM(Popn!G$39:G$48)*Tracks!$C$41,SUM(Popn!G$133:G$142)*Tracks!$B$41,SUM(Popn!G$49:G$58)*Tracks!$C$42,SUM(Popn!G$143:G$152)*Tracks!$B$42,SUM(Popn!G$59:G$68)*Tracks!$C$43,SUM(Popn!G$153:G$162)*Tracks!$B$43,SUM(Popn!G$69:G$73)*Tracks!$C$44,SUM(Popn!G$163:G$167)*Tracks!$B$44,SUM(Popn!G$74:G$99)*Tracks!$C$45,SUM(Popn!G$168:G$193)*Tracks!$B$45)/1000000000</f>
        <v>5.70477519</v>
      </c>
      <c r="H132" s="146">
        <f>SUM(SUM(Popn!H$9:H$13)*Tracks!$C$36,SUM(Popn!H$103:H$107)*Tracks!$B$36,SUM(Popn!H$14:H$18)*Tracks!$C$37,SUM(Popn!H$108:H$112)*Tracks!$B$37,SUM(Popn!H$19:H$23)*Tracks!$C$38,SUM(Popn!H$113:H$117)*Tracks!$B$38,SUM(Popn!H$24:H$28)*Tracks!$C$39,SUM(Popn!H$118:H$122)*Tracks!$B$39,SUM(Popn!H$29:H$38)*Tracks!$C$40,SUM(Popn!H$123:H$132)*Tracks!$B$40,SUM(Popn!H$39:H$48)*Tracks!$C$41,SUM(Popn!H$133:H$142)*Tracks!$B$41,SUM(Popn!H$49:H$58)*Tracks!$C$42,SUM(Popn!H$143:H$152)*Tracks!$B$42,SUM(Popn!H$59:H$68)*Tracks!$C$43,SUM(Popn!H$153:H$162)*Tracks!$B$43,SUM(Popn!H$69:H$73)*Tracks!$C$44,SUM(Popn!H$163:H$167)*Tracks!$B$44,SUM(Popn!H$74:H$99)*Tracks!$C$45,SUM(Popn!H$168:H$193)*Tracks!$B$45)/1000000000</f>
        <v>5.7528076</v>
      </c>
      <c r="I132" s="146">
        <f>SUM(SUM(Popn!I$9:I$13)*Tracks!$C$36,SUM(Popn!I$103:I$107)*Tracks!$B$36,SUM(Popn!I$14:I$18)*Tracks!$C$37,SUM(Popn!I$108:I$112)*Tracks!$B$37,SUM(Popn!I$19:I$23)*Tracks!$C$38,SUM(Popn!I$113:I$117)*Tracks!$B$38,SUM(Popn!I$24:I$28)*Tracks!$C$39,SUM(Popn!I$118:I$122)*Tracks!$B$39,SUM(Popn!I$29:I$38)*Tracks!$C$40,SUM(Popn!I$123:I$132)*Tracks!$B$40,SUM(Popn!I$39:I$48)*Tracks!$C$41,SUM(Popn!I$133:I$142)*Tracks!$B$41,SUM(Popn!I$49:I$58)*Tracks!$C$42,SUM(Popn!I$143:I$152)*Tracks!$B$42,SUM(Popn!I$59:I$68)*Tracks!$C$43,SUM(Popn!I$153:I$162)*Tracks!$B$43,SUM(Popn!I$69:I$73)*Tracks!$C$44,SUM(Popn!I$163:I$167)*Tracks!$B$44,SUM(Popn!I$74:I$99)*Tracks!$C$45,SUM(Popn!I$168:I$193)*Tracks!$B$45)/1000000000</f>
        <v>5.78683797</v>
      </c>
      <c r="J132" s="146">
        <f>SUM(SUM(Popn!J$9:J$13)*Tracks!$C$36,SUM(Popn!J$103:J$107)*Tracks!$B$36,SUM(Popn!J$14:J$18)*Tracks!$C$37,SUM(Popn!J$108:J$112)*Tracks!$B$37,SUM(Popn!J$19:J$23)*Tracks!$C$38,SUM(Popn!J$113:J$117)*Tracks!$B$38,SUM(Popn!J$24:J$28)*Tracks!$C$39,SUM(Popn!J$118:J$122)*Tracks!$B$39,SUM(Popn!J$29:J$38)*Tracks!$C$40,SUM(Popn!J$123:J$132)*Tracks!$B$40,SUM(Popn!J$39:J$48)*Tracks!$C$41,SUM(Popn!J$133:J$142)*Tracks!$B$41,SUM(Popn!J$49:J$58)*Tracks!$C$42,SUM(Popn!J$143:J$152)*Tracks!$B$42,SUM(Popn!J$59:J$68)*Tracks!$C$43,SUM(Popn!J$153:J$162)*Tracks!$B$43,SUM(Popn!J$69:J$73)*Tracks!$C$44,SUM(Popn!J$163:J$167)*Tracks!$B$44,SUM(Popn!J$74:J$99)*Tracks!$C$45,SUM(Popn!J$168:J$193)*Tracks!$B$45)/1000000000</f>
        <v>5.81356073</v>
      </c>
      <c r="K132" s="104">
        <f>SUM(SUM(Popn!K$9:K$13)*Tracks!$C$36,SUM(Popn!K$103:K$107)*Tracks!$B$36,SUM(Popn!K$14:K$18)*Tracks!$C$37,SUM(Popn!K$108:K$112)*Tracks!$B$37,SUM(Popn!K$19:K$23)*Tracks!$C$38,SUM(Popn!K$113:K$117)*Tracks!$B$38,SUM(Popn!K$24:K$28)*Tracks!$C$39,SUM(Popn!K$118:K$122)*Tracks!$B$39,SUM(Popn!K$29:K$38)*Tracks!$C$40,SUM(Popn!K$123:K$132)*Tracks!$B$40,SUM(Popn!K$39:K$48)*Tracks!$C$41,SUM(Popn!K$133:K$142)*Tracks!$B$41,SUM(Popn!K$49:K$58)*Tracks!$C$42,SUM(Popn!K$143:K$152)*Tracks!$B$42,SUM(Popn!K$59:K$68)*Tracks!$C$43,SUM(Popn!K$153:K$162)*Tracks!$B$43,SUM(Popn!K$69:K$73)*Tracks!$C$44,SUM(Popn!K$163:K$167)*Tracks!$B$44,SUM(Popn!K$74:K$99)*Tracks!$C$45,SUM(Popn!K$168:K$193)*Tracks!$B$45)/1000000000</f>
        <v>5.8370239</v>
      </c>
      <c r="L132" s="104">
        <f>SUM(SUM(Popn!L$9:L$13)*Tracks!$C$36,SUM(Popn!L$103:L$107)*Tracks!$B$36,SUM(Popn!L$14:L$18)*Tracks!$C$37,SUM(Popn!L$108:L$112)*Tracks!$B$37,SUM(Popn!L$19:L$23)*Tracks!$C$38,SUM(Popn!L$113:L$117)*Tracks!$B$38,SUM(Popn!L$24:L$28)*Tracks!$C$39,SUM(Popn!L$118:L$122)*Tracks!$B$39,SUM(Popn!L$29:L$38)*Tracks!$C$40,SUM(Popn!L$123:L$132)*Tracks!$B$40,SUM(Popn!L$39:L$48)*Tracks!$C$41,SUM(Popn!L$133:L$142)*Tracks!$B$41,SUM(Popn!L$49:L$58)*Tracks!$C$42,SUM(Popn!L$143:L$152)*Tracks!$B$42,SUM(Popn!L$59:L$68)*Tracks!$C$43,SUM(Popn!L$153:L$162)*Tracks!$B$43,SUM(Popn!L$69:L$73)*Tracks!$C$44,SUM(Popn!L$163:L$167)*Tracks!$B$44,SUM(Popn!L$74:L$99)*Tracks!$C$45,SUM(Popn!L$168:L$193)*Tracks!$B$45)/1000000000</f>
        <v>5.86001375</v>
      </c>
      <c r="M132" s="104">
        <f>SUM(SUM(Popn!M$9:M$13)*Tracks!$C$36,SUM(Popn!M$103:M$107)*Tracks!$B$36,SUM(Popn!M$14:M$18)*Tracks!$C$37,SUM(Popn!M$108:M$112)*Tracks!$B$37,SUM(Popn!M$19:M$23)*Tracks!$C$38,SUM(Popn!M$113:M$117)*Tracks!$B$38,SUM(Popn!M$24:M$28)*Tracks!$C$39,SUM(Popn!M$118:M$122)*Tracks!$B$39,SUM(Popn!M$29:M$38)*Tracks!$C$40,SUM(Popn!M$123:M$132)*Tracks!$B$40,SUM(Popn!M$39:M$48)*Tracks!$C$41,SUM(Popn!M$133:M$142)*Tracks!$B$41,SUM(Popn!M$49:M$58)*Tracks!$C$42,SUM(Popn!M$143:M$152)*Tracks!$B$42,SUM(Popn!M$59:M$68)*Tracks!$C$43,SUM(Popn!M$153:M$162)*Tracks!$B$43,SUM(Popn!M$69:M$73)*Tracks!$C$44,SUM(Popn!M$163:M$167)*Tracks!$B$44,SUM(Popn!M$74:M$99)*Tracks!$C$45,SUM(Popn!M$168:M$193)*Tracks!$B$45)/1000000000</f>
        <v>5.879585</v>
      </c>
      <c r="N132" s="104">
        <f>SUM(SUM(Popn!N$9:N$13)*Tracks!$C$36,SUM(Popn!N$103:N$107)*Tracks!$B$36,SUM(Popn!N$14:N$18)*Tracks!$C$37,SUM(Popn!N$108:N$112)*Tracks!$B$37,SUM(Popn!N$19:N$23)*Tracks!$C$38,SUM(Popn!N$113:N$117)*Tracks!$B$38,SUM(Popn!N$24:N$28)*Tracks!$C$39,SUM(Popn!N$118:N$122)*Tracks!$B$39,SUM(Popn!N$29:N$38)*Tracks!$C$40,SUM(Popn!N$123:N$132)*Tracks!$B$40,SUM(Popn!N$39:N$48)*Tracks!$C$41,SUM(Popn!N$133:N$142)*Tracks!$B$41,SUM(Popn!N$49:N$58)*Tracks!$C$42,SUM(Popn!N$143:N$152)*Tracks!$B$42,SUM(Popn!N$59:N$68)*Tracks!$C$43,SUM(Popn!N$153:N$162)*Tracks!$B$43,SUM(Popn!N$69:N$73)*Tracks!$C$44,SUM(Popn!N$163:N$167)*Tracks!$B$44,SUM(Popn!N$74:N$99)*Tracks!$C$45,SUM(Popn!N$168:N$193)*Tracks!$B$45)/1000000000</f>
        <v>5.89830695</v>
      </c>
      <c r="O132" s="104">
        <f>SUM(SUM(Popn!O$9:O$13)*Tracks!$C$36,SUM(Popn!O$103:O$107)*Tracks!$B$36,SUM(Popn!O$14:O$18)*Tracks!$C$37,SUM(Popn!O$108:O$112)*Tracks!$B$37,SUM(Popn!O$19:O$23)*Tracks!$C$38,SUM(Popn!O$113:O$117)*Tracks!$B$38,SUM(Popn!O$24:O$28)*Tracks!$C$39,SUM(Popn!O$118:O$122)*Tracks!$B$39,SUM(Popn!O$29:O$38)*Tracks!$C$40,SUM(Popn!O$123:O$132)*Tracks!$B$40,SUM(Popn!O$39:O$48)*Tracks!$C$41,SUM(Popn!O$133:O$142)*Tracks!$B$41,SUM(Popn!O$49:O$58)*Tracks!$C$42,SUM(Popn!O$143:O$152)*Tracks!$B$42,SUM(Popn!O$59:O$68)*Tracks!$C$43,SUM(Popn!O$153:O$162)*Tracks!$B$43,SUM(Popn!O$69:O$73)*Tracks!$C$44,SUM(Popn!O$163:O$167)*Tracks!$B$44,SUM(Popn!O$74:O$99)*Tracks!$C$45,SUM(Popn!O$168:O$193)*Tracks!$B$45)/1000000000</f>
        <v>5.91383129</v>
      </c>
      <c r="P132" s="104">
        <f>SUM(SUM(Popn!P$9:P$13)*Tracks!$C$36,SUM(Popn!P$103:P$107)*Tracks!$B$36,SUM(Popn!P$14:P$18)*Tracks!$C$37,SUM(Popn!P$108:P$112)*Tracks!$B$37,SUM(Popn!P$19:P$23)*Tracks!$C$38,SUM(Popn!P$113:P$117)*Tracks!$B$38,SUM(Popn!P$24:P$28)*Tracks!$C$39,SUM(Popn!P$118:P$122)*Tracks!$B$39,SUM(Popn!P$29:P$38)*Tracks!$C$40,SUM(Popn!P$123:P$132)*Tracks!$B$40,SUM(Popn!P$39:P$48)*Tracks!$C$41,SUM(Popn!P$133:P$142)*Tracks!$B$41,SUM(Popn!P$49:P$58)*Tracks!$C$42,SUM(Popn!P$143:P$152)*Tracks!$B$42,SUM(Popn!P$59:P$68)*Tracks!$C$43,SUM(Popn!P$153:P$162)*Tracks!$B$43,SUM(Popn!P$69:P$73)*Tracks!$C$44,SUM(Popn!P$163:P$167)*Tracks!$B$44,SUM(Popn!P$74:P$99)*Tracks!$C$45,SUM(Popn!P$168:P$193)*Tracks!$B$45)/1000000000</f>
        <v>5.93171592</v>
      </c>
      <c r="Q132" s="104">
        <f>SUM(SUM(Popn!Q$9:Q$13)*Tracks!$C$36,SUM(Popn!Q$103:Q$107)*Tracks!$B$36,SUM(Popn!Q$14:Q$18)*Tracks!$C$37,SUM(Popn!Q$108:Q$112)*Tracks!$B$37,SUM(Popn!Q$19:Q$23)*Tracks!$C$38,SUM(Popn!Q$113:Q$117)*Tracks!$B$38,SUM(Popn!Q$24:Q$28)*Tracks!$C$39,SUM(Popn!Q$118:Q$122)*Tracks!$B$39,SUM(Popn!Q$29:Q$38)*Tracks!$C$40,SUM(Popn!Q$123:Q$132)*Tracks!$B$40,SUM(Popn!Q$39:Q$48)*Tracks!$C$41,SUM(Popn!Q$133:Q$142)*Tracks!$B$41,SUM(Popn!Q$49:Q$58)*Tracks!$C$42,SUM(Popn!Q$143:Q$152)*Tracks!$B$42,SUM(Popn!Q$59:Q$68)*Tracks!$C$43,SUM(Popn!Q$153:Q$162)*Tracks!$B$43,SUM(Popn!Q$69:Q$73)*Tracks!$C$44,SUM(Popn!Q$163:Q$167)*Tracks!$B$44,SUM(Popn!Q$74:Q$99)*Tracks!$C$45,SUM(Popn!Q$168:Q$193)*Tracks!$B$45)/1000000000</f>
        <v>5.95474119</v>
      </c>
      <c r="R132" s="104">
        <f>SUM(SUM(Popn!R$9:R$13)*Tracks!$C$36,SUM(Popn!R$103:R$107)*Tracks!$B$36,SUM(Popn!R$14:R$18)*Tracks!$C$37,SUM(Popn!R$108:R$112)*Tracks!$B$37,SUM(Popn!R$19:R$23)*Tracks!$C$38,SUM(Popn!R$113:R$117)*Tracks!$B$38,SUM(Popn!R$24:R$28)*Tracks!$C$39,SUM(Popn!R$118:R$122)*Tracks!$B$39,SUM(Popn!R$29:R$38)*Tracks!$C$40,SUM(Popn!R$123:R$132)*Tracks!$B$40,SUM(Popn!R$39:R$48)*Tracks!$C$41,SUM(Popn!R$133:R$142)*Tracks!$B$41,SUM(Popn!R$49:R$58)*Tracks!$C$42,SUM(Popn!R$143:R$152)*Tracks!$B$42,SUM(Popn!R$59:R$68)*Tracks!$C$43,SUM(Popn!R$153:R$162)*Tracks!$B$43,SUM(Popn!R$69:R$73)*Tracks!$C$44,SUM(Popn!R$163:R$167)*Tracks!$B$44,SUM(Popn!R$74:R$99)*Tracks!$C$45,SUM(Popn!R$168:R$193)*Tracks!$B$45)/1000000000</f>
        <v>5.97626666</v>
      </c>
      <c r="S132" s="104">
        <f>SUM(SUM(Popn!S$9:S$13)*Tracks!$C$36,SUM(Popn!S$103:S$107)*Tracks!$B$36,SUM(Popn!S$14:S$18)*Tracks!$C$37,SUM(Popn!S$108:S$112)*Tracks!$B$37,SUM(Popn!S$19:S$23)*Tracks!$C$38,SUM(Popn!S$113:S$117)*Tracks!$B$38,SUM(Popn!S$24:S$28)*Tracks!$C$39,SUM(Popn!S$118:S$122)*Tracks!$B$39,SUM(Popn!S$29:S$38)*Tracks!$C$40,SUM(Popn!S$123:S$132)*Tracks!$B$40,SUM(Popn!S$39:S$48)*Tracks!$C$41,SUM(Popn!S$133:S$142)*Tracks!$B$41,SUM(Popn!S$49:S$58)*Tracks!$C$42,SUM(Popn!S$143:S$152)*Tracks!$B$42,SUM(Popn!S$59:S$68)*Tracks!$C$43,SUM(Popn!S$153:S$162)*Tracks!$B$43,SUM(Popn!S$69:S$73)*Tracks!$C$44,SUM(Popn!S$163:S$167)*Tracks!$B$44,SUM(Popn!S$74:S$99)*Tracks!$C$45,SUM(Popn!S$168:S$193)*Tracks!$B$45)/1000000000</f>
        <v>6.00146786</v>
      </c>
      <c r="T132" s="104">
        <f>SUM(SUM(Popn!T$9:T$13)*Tracks!$C$36,SUM(Popn!T$103:T$107)*Tracks!$B$36,SUM(Popn!T$14:T$18)*Tracks!$C$37,SUM(Popn!T$108:T$112)*Tracks!$B$37,SUM(Popn!T$19:T$23)*Tracks!$C$38,SUM(Popn!T$113:T$117)*Tracks!$B$38,SUM(Popn!T$24:T$28)*Tracks!$C$39,SUM(Popn!T$118:T$122)*Tracks!$B$39,SUM(Popn!T$29:T$38)*Tracks!$C$40,SUM(Popn!T$123:T$132)*Tracks!$B$40,SUM(Popn!T$39:T$48)*Tracks!$C$41,SUM(Popn!T$133:T$142)*Tracks!$B$41,SUM(Popn!T$49:T$58)*Tracks!$C$42,SUM(Popn!T$143:T$152)*Tracks!$B$42,SUM(Popn!T$59:T$68)*Tracks!$C$43,SUM(Popn!T$153:T$162)*Tracks!$B$43,SUM(Popn!T$69:T$73)*Tracks!$C$44,SUM(Popn!T$163:T$167)*Tracks!$B$44,SUM(Popn!T$74:T$99)*Tracks!$C$45,SUM(Popn!T$168:T$193)*Tracks!$B$45)/1000000000</f>
        <v>6.03691893</v>
      </c>
    </row>
    <row r="133" spans="1:21" ht="12.75">
      <c r="A133" s="50"/>
      <c r="B133" s="108"/>
      <c r="C133" s="99"/>
      <c r="D133" s="121"/>
      <c r="E133" s="45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</row>
    <row r="134" spans="1:21" ht="12.75">
      <c r="A134" s="150" t="s">
        <v>810</v>
      </c>
      <c r="B134" s="108"/>
      <c r="C134" s="99"/>
      <c r="D134" s="99"/>
      <c r="E134" s="4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0" ht="12.75">
      <c r="A135" s="50" t="s">
        <v>736</v>
      </c>
      <c r="C135" s="99"/>
      <c r="D135" s="99">
        <f>Data!C$158</f>
        <v>5.484438</v>
      </c>
      <c r="E135" s="99">
        <f>Data!D$158</f>
        <v>5.615169</v>
      </c>
      <c r="F135" s="146">
        <f>Data!E$158</f>
        <v>5.999131</v>
      </c>
      <c r="G135" s="146">
        <f>Data!F$158</f>
        <v>6.408977</v>
      </c>
      <c r="H135" s="146">
        <f>Data!G$158</f>
        <v>6.846917</v>
      </c>
      <c r="I135" s="146">
        <f>Data!H$158</f>
        <v>7.315158</v>
      </c>
      <c r="J135" s="146">
        <f>Data!I$158</f>
        <v>7.816682999999999</v>
      </c>
      <c r="K135" s="104">
        <f aca="true" t="shared" si="67" ref="K135:T135">J$135*IF(K$1="Proj Yr1",AVERAGE(H$135/G$135,I$135/H$135,J$135/I$135),J$135/I$135)</f>
        <v>8.351550224064026</v>
      </c>
      <c r="L135" s="104">
        <f t="shared" si="67"/>
        <v>8.923016469398066</v>
      </c>
      <c r="M135" s="104">
        <f t="shared" si="67"/>
        <v>9.533586074083907</v>
      </c>
      <c r="N135" s="104">
        <f t="shared" si="67"/>
        <v>10.185934738961416</v>
      </c>
      <c r="O135" s="104">
        <f t="shared" si="67"/>
        <v>10.882921253359612</v>
      </c>
      <c r="P135" s="104">
        <f t="shared" si="67"/>
        <v>11.62760002317692</v>
      </c>
      <c r="Q135" s="104">
        <f t="shared" si="67"/>
        <v>12.423234456212448</v>
      </c>
      <c r="R135" s="104">
        <f t="shared" si="67"/>
        <v>13.273311263406871</v>
      </c>
      <c r="S135" s="104">
        <f t="shared" si="67"/>
        <v>14.181555738665265</v>
      </c>
      <c r="T135" s="104">
        <f t="shared" si="67"/>
        <v>15.151948084222731</v>
      </c>
    </row>
    <row r="136" spans="1:20" ht="12.75">
      <c r="A136" s="50" t="s">
        <v>737</v>
      </c>
      <c r="C136" s="99"/>
      <c r="D136" s="99">
        <f>Data!C$152</f>
        <v>5.45701581</v>
      </c>
      <c r="E136" s="99">
        <f>Data!D$152</f>
        <v>5.599</v>
      </c>
      <c r="F136" s="146">
        <f>Data!E$152</f>
        <v>5.599</v>
      </c>
      <c r="G136" s="146">
        <f>Data!F$152</f>
        <v>5.9830000000000005</v>
      </c>
      <c r="H136" s="146">
        <f>Data!G$152</f>
        <v>6.393</v>
      </c>
      <c r="I136" s="146">
        <f>Data!H$152</f>
        <v>6.831</v>
      </c>
      <c r="J136" s="146">
        <f>Data!I$152</f>
        <v>7.297</v>
      </c>
      <c r="K136" s="104">
        <f aca="true" t="shared" si="68" ref="K136:T136">K$135*IF(K$1="Proj Yr1",AVERAGE(H$136/H$135,I$136/I$135,J$136/J$135),J$136/J$135)</f>
        <v>7.7976628761813815</v>
      </c>
      <c r="L136" s="104">
        <f t="shared" si="68"/>
        <v>8.331228622261943</v>
      </c>
      <c r="M136" s="104">
        <f t="shared" si="68"/>
        <v>8.90130433420165</v>
      </c>
      <c r="N136" s="104">
        <f t="shared" si="68"/>
        <v>9.510388256344012</v>
      </c>
      <c r="O136" s="104">
        <f t="shared" si="68"/>
        <v>10.161149578818243</v>
      </c>
      <c r="P136" s="104">
        <f t="shared" si="68"/>
        <v>10.85644013473843</v>
      </c>
      <c r="Q136" s="104">
        <f t="shared" si="68"/>
        <v>11.599306897799543</v>
      </c>
      <c r="R136" s="104">
        <f t="shared" si="68"/>
        <v>12.393005335038557</v>
      </c>
      <c r="S136" s="104">
        <f t="shared" si="68"/>
        <v>13.241013673276496</v>
      </c>
      <c r="T136" s="104">
        <f t="shared" si="68"/>
        <v>14.147048141761305</v>
      </c>
    </row>
    <row r="137" spans="1:20" ht="12.75">
      <c r="A137" s="50" t="s">
        <v>129</v>
      </c>
      <c r="B137" s="108"/>
      <c r="C137" s="99"/>
      <c r="D137" s="99">
        <f>Data!C$195</f>
        <v>0.130559</v>
      </c>
      <c r="E137" s="99">
        <f>Data!D$195</f>
        <v>0.35414399999999996</v>
      </c>
      <c r="F137" s="146">
        <f>Data!E$195</f>
        <v>0.28163699999999997</v>
      </c>
      <c r="G137" s="146">
        <f>Data!F$195</f>
        <v>0.295853</v>
      </c>
      <c r="H137" s="146">
        <f>Data!G$195</f>
        <v>0.312214</v>
      </c>
      <c r="I137" s="146">
        <f>Data!H$195</f>
        <v>0.32958200000000004</v>
      </c>
      <c r="J137" s="146">
        <f>Data!I$195</f>
        <v>0.34802099999999997</v>
      </c>
      <c r="K137" s="104">
        <f aca="true" t="shared" si="69" ref="K137:S137">J$137*K$136/J$136</f>
        <v>0.371899469896056</v>
      </c>
      <c r="L137" s="104">
        <f t="shared" si="69"/>
        <v>0.39734719971881916</v>
      </c>
      <c r="M137" s="104">
        <f t="shared" si="69"/>
        <v>0.4245362252560219</v>
      </c>
      <c r="N137" s="104">
        <f t="shared" si="69"/>
        <v>0.4535856970482525</v>
      </c>
      <c r="O137" s="104">
        <f t="shared" si="69"/>
        <v>0.4846229186747846</v>
      </c>
      <c r="P137" s="104">
        <f t="shared" si="69"/>
        <v>0.5177839046363988</v>
      </c>
      <c r="Q137" s="104">
        <f t="shared" si="69"/>
        <v>0.5532139764121</v>
      </c>
      <c r="R137" s="104">
        <f t="shared" si="69"/>
        <v>0.5910683993018299</v>
      </c>
      <c r="S137" s="104">
        <f t="shared" si="69"/>
        <v>0.6315130628460132</v>
      </c>
      <c r="T137" s="104">
        <f>S$137*T$136/S$136</f>
        <v>0.6747252078037426</v>
      </c>
    </row>
    <row r="138" spans="1:20" ht="12.75">
      <c r="A138" s="50" t="s">
        <v>492</v>
      </c>
      <c r="B138" s="108"/>
      <c r="C138" s="99"/>
      <c r="D138" s="99">
        <f>Data!C$196</f>
        <v>0.076278</v>
      </c>
      <c r="E138" s="99">
        <f>Data!D$196</f>
        <v>0.29969199999999996</v>
      </c>
      <c r="F138" s="146">
        <f>Data!E$196</f>
        <v>0.23570000000000002</v>
      </c>
      <c r="G138" s="146">
        <f>Data!F$196</f>
        <v>0.248965</v>
      </c>
      <c r="H138" s="146">
        <f>Data!G$196</f>
        <v>0.264316</v>
      </c>
      <c r="I138" s="146">
        <f>Data!H$196</f>
        <v>0.280611</v>
      </c>
      <c r="J138" s="146">
        <f>Data!I$196</f>
        <v>0.29790999999999995</v>
      </c>
      <c r="K138" s="104">
        <f aca="true" t="shared" si="70" ref="K138:S138">J$138*K$137/J$137</f>
        <v>0.31835024632632525</v>
      </c>
      <c r="L138" s="104">
        <f t="shared" si="70"/>
        <v>0.34013379729451215</v>
      </c>
      <c r="M138" s="104">
        <f t="shared" si="70"/>
        <v>0.36340791752802704</v>
      </c>
      <c r="N138" s="104">
        <f t="shared" si="70"/>
        <v>0.388274601267294</v>
      </c>
      <c r="O138" s="104">
        <f t="shared" si="70"/>
        <v>0.41484282184812155</v>
      </c>
      <c r="P138" s="104">
        <f t="shared" si="70"/>
        <v>0.44322900925584835</v>
      </c>
      <c r="Q138" s="104">
        <f t="shared" si="70"/>
        <v>0.4735575603567852</v>
      </c>
      <c r="R138" s="104">
        <f t="shared" si="70"/>
        <v>0.5059613840429404</v>
      </c>
      <c r="S138" s="104">
        <f t="shared" si="70"/>
        <v>0.5405824836790188</v>
      </c>
      <c r="T138" s="104">
        <f>S$138*T$137/S$137</f>
        <v>0.5775725794041537</v>
      </c>
    </row>
    <row r="139" spans="1:10" ht="12.75">
      <c r="A139" s="50"/>
      <c r="B139" s="108"/>
      <c r="C139" s="99"/>
      <c r="D139" s="99"/>
      <c r="E139" s="99"/>
      <c r="F139" s="146"/>
      <c r="G139" s="146"/>
      <c r="H139" s="146"/>
      <c r="I139" s="146"/>
      <c r="J139" s="146"/>
    </row>
    <row r="140" spans="1:21" s="108" customFormat="1" ht="12.75">
      <c r="A140" s="150" t="s">
        <v>811</v>
      </c>
      <c r="C140" s="121"/>
      <c r="D140" s="121"/>
      <c r="E140" s="121"/>
      <c r="F140" s="294"/>
      <c r="G140" s="294"/>
      <c r="H140" s="294"/>
      <c r="I140" s="294"/>
      <c r="J140" s="294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</row>
    <row r="141" spans="1:21" s="108" customFormat="1" ht="12.75">
      <c r="A141" s="50" t="s">
        <v>901</v>
      </c>
      <c r="C141" s="121"/>
      <c r="D141" s="121">
        <f>Data!C$197+IF($I$1="YES",D$273,0)</f>
        <v>21.536829</v>
      </c>
      <c r="E141" s="121">
        <f>Data!D$197+IF($I$1="YES",E$273,0)</f>
        <v>25.795337</v>
      </c>
      <c r="F141" s="289">
        <f>Data!E$197+IF($I$1="YES",F$273,0)</f>
        <v>20.731849</v>
      </c>
      <c r="G141" s="289">
        <f>Data!F$197+IF($I$1="YES",G$273,0)</f>
        <v>17.784813999999997</v>
      </c>
      <c r="H141" s="289">
        <f>Data!G$197+IF($I$1="YES",H$273,0)</f>
        <v>20.586243999999997</v>
      </c>
      <c r="I141" s="289">
        <f>Data!H$197+IF($I$1="YES",I$273,0)</f>
        <v>18.662854</v>
      </c>
      <c r="J141" s="289">
        <f>Data!I$197+IF($I$1="YES",J$273,0)</f>
        <v>16.544641</v>
      </c>
      <c r="K141" s="140">
        <f aca="true" t="shared" si="71" ref="K141:S141">J$141-K$206</f>
        <v>16.544641</v>
      </c>
      <c r="L141" s="140">
        <f t="shared" si="71"/>
        <v>16.544641</v>
      </c>
      <c r="M141" s="140">
        <f t="shared" si="71"/>
        <v>16.544641</v>
      </c>
      <c r="N141" s="140">
        <f t="shared" si="71"/>
        <v>16.544641</v>
      </c>
      <c r="O141" s="140">
        <f t="shared" si="71"/>
        <v>16.544641</v>
      </c>
      <c r="P141" s="140">
        <f t="shared" si="71"/>
        <v>16.544641</v>
      </c>
      <c r="Q141" s="140">
        <f t="shared" si="71"/>
        <v>16.544641</v>
      </c>
      <c r="R141" s="140">
        <f t="shared" si="71"/>
        <v>16.544641</v>
      </c>
      <c r="S141" s="140">
        <f t="shared" si="71"/>
        <v>16.544641</v>
      </c>
      <c r="T141" s="140">
        <f>S$141-T$206</f>
        <v>16.544641</v>
      </c>
      <c r="U141" s="140"/>
    </row>
    <row r="142" spans="1:21" s="304" customFormat="1" ht="12.75">
      <c r="A142" s="302" t="s">
        <v>904</v>
      </c>
      <c r="B142" s="297"/>
      <c r="C142" s="247"/>
      <c r="D142" s="247">
        <f>D$119-Data!C$201</f>
        <v>10.324653</v>
      </c>
      <c r="E142" s="247">
        <f>E$119-Data!D$201</f>
        <v>12.84394</v>
      </c>
      <c r="F142" s="224">
        <f>F$119-Data!E$201</f>
        <v>15.142267</v>
      </c>
      <c r="G142" s="224">
        <f>G$119-Data!F$201</f>
        <v>17.355562</v>
      </c>
      <c r="H142" s="224">
        <f>H$119-Data!G$201</f>
        <v>20.317616</v>
      </c>
      <c r="I142" s="224">
        <f>I$119-Data!H$201</f>
        <v>23.622961</v>
      </c>
      <c r="J142" s="224">
        <f>J$119-Data!I$201</f>
        <v>27.238099</v>
      </c>
      <c r="K142" s="303">
        <f>K$119-K160</f>
        <v>31.166019809057254</v>
      </c>
      <c r="L142" s="303">
        <f aca="true" t="shared" si="72" ref="L142:T142">L$119-L160</f>
        <v>35.26903516648326</v>
      </c>
      <c r="M142" s="303">
        <f t="shared" si="72"/>
        <v>39.602261743884185</v>
      </c>
      <c r="N142" s="303">
        <f t="shared" si="72"/>
        <v>44.22048383194023</v>
      </c>
      <c r="O142" s="303">
        <f t="shared" si="72"/>
        <v>49.13251436550563</v>
      </c>
      <c r="P142" s="303">
        <f t="shared" si="72"/>
        <v>54.33094155716965</v>
      </c>
      <c r="Q142" s="303">
        <f t="shared" si="72"/>
        <v>59.81205724204058</v>
      </c>
      <c r="R142" s="303">
        <f t="shared" si="72"/>
        <v>65.49928194389251</v>
      </c>
      <c r="S142" s="303">
        <f t="shared" si="72"/>
        <v>71.38031065212172</v>
      </c>
      <c r="T142" s="303">
        <f t="shared" si="72"/>
        <v>77.42617195945128</v>
      </c>
      <c r="U142" s="303"/>
    </row>
    <row r="143" spans="1:21" s="304" customFormat="1" ht="12.75">
      <c r="A143" s="302" t="s">
        <v>543</v>
      </c>
      <c r="B143" s="297"/>
      <c r="C143" s="247"/>
      <c r="D143" s="247">
        <f>Data!C$118-Data!C$198-SUM(D$141,D$142)+IF($I$1="YES",D$273,0)</f>
        <v>1.1805179999999993</v>
      </c>
      <c r="E143" s="247">
        <f>Data!D$118-Data!D$198-SUM(E$141,E$142)+IF($I$1="YES",E$273,0)</f>
        <v>0.06072300000000297</v>
      </c>
      <c r="F143" s="224">
        <f>Data!E$118-Data!E$198-SUM(F$141,F$142)+IF($I$1="YES",F$273,0)</f>
        <v>-0.02211600000000402</v>
      </c>
      <c r="G143" s="224">
        <f>Data!F$118-Data!F$198-SUM(G$141,G$142)+IF($I$1="YES",G$273,0)</f>
        <v>-0.025376000000001397</v>
      </c>
      <c r="H143" s="224">
        <f>Data!G$118-Data!G$198-SUM(H$141,H$142)+IF($I$1="YES",H$273,0)</f>
        <v>-0.03685999999999012</v>
      </c>
      <c r="I143" s="224">
        <f>Data!H$118-Data!H$198-SUM(I$141,I$142)+IF($I$1="YES",I$273,0)</f>
        <v>-0.04881499999999761</v>
      </c>
      <c r="J143" s="224">
        <f>Data!I$118-Data!I$198-SUM(J$141,J$142)+IF($I$1="YES",J$273,0)</f>
        <v>-0.07573999999999614</v>
      </c>
      <c r="K143" s="303">
        <f aca="true" t="shared" si="73" ref="K143:S143">J143</f>
        <v>-0.07573999999999614</v>
      </c>
      <c r="L143" s="303">
        <f t="shared" si="73"/>
        <v>-0.07573999999999614</v>
      </c>
      <c r="M143" s="303">
        <f t="shared" si="73"/>
        <v>-0.07573999999999614</v>
      </c>
      <c r="N143" s="303">
        <f t="shared" si="73"/>
        <v>-0.07573999999999614</v>
      </c>
      <c r="O143" s="303">
        <f t="shared" si="73"/>
        <v>-0.07573999999999614</v>
      </c>
      <c r="P143" s="303">
        <f t="shared" si="73"/>
        <v>-0.07573999999999614</v>
      </c>
      <c r="Q143" s="303">
        <f t="shared" si="73"/>
        <v>-0.07573999999999614</v>
      </c>
      <c r="R143" s="303">
        <f t="shared" si="73"/>
        <v>-0.07573999999999614</v>
      </c>
      <c r="S143" s="303">
        <f t="shared" si="73"/>
        <v>-0.07573999999999614</v>
      </c>
      <c r="T143" s="303">
        <f>S143</f>
        <v>-0.07573999999999614</v>
      </c>
      <c r="U143" s="303"/>
    </row>
    <row r="144" spans="1:21" s="304" customFormat="1" ht="12.75">
      <c r="A144" s="382" t="s">
        <v>536</v>
      </c>
      <c r="C144" s="247"/>
      <c r="D144" s="141">
        <f aca="true" t="shared" si="74" ref="D144:I144">SUM(D141:D143)</f>
        <v>33.042</v>
      </c>
      <c r="E144" s="141">
        <f>SUM(E141:E143)</f>
        <v>38.7</v>
      </c>
      <c r="F144" s="390">
        <f t="shared" si="74"/>
        <v>35.852</v>
      </c>
      <c r="G144" s="390">
        <f t="shared" si="74"/>
        <v>35.114999999999995</v>
      </c>
      <c r="H144" s="390">
        <f t="shared" si="74"/>
        <v>40.867000000000004</v>
      </c>
      <c r="I144" s="390">
        <f t="shared" si="74"/>
        <v>42.237</v>
      </c>
      <c r="J144" s="390">
        <f>SUM(J141:J143)</f>
        <v>43.707</v>
      </c>
      <c r="K144" s="148">
        <f aca="true" t="shared" si="75" ref="K144:T144">SUM(K$141,K$142:K$143)</f>
        <v>47.634920809057256</v>
      </c>
      <c r="L144" s="148">
        <f t="shared" si="75"/>
        <v>51.737936166483266</v>
      </c>
      <c r="M144" s="148">
        <f t="shared" si="75"/>
        <v>56.07116274388419</v>
      </c>
      <c r="N144" s="148">
        <f t="shared" si="75"/>
        <v>60.68938483194023</v>
      </c>
      <c r="O144" s="148">
        <f t="shared" si="75"/>
        <v>65.60141536550563</v>
      </c>
      <c r="P144" s="148">
        <f t="shared" si="75"/>
        <v>70.79984255716965</v>
      </c>
      <c r="Q144" s="148">
        <f t="shared" si="75"/>
        <v>76.28095824204058</v>
      </c>
      <c r="R144" s="148">
        <f t="shared" si="75"/>
        <v>81.96818294389251</v>
      </c>
      <c r="S144" s="148">
        <f t="shared" si="75"/>
        <v>87.84921165212172</v>
      </c>
      <c r="T144" s="148">
        <f t="shared" si="75"/>
        <v>93.89507295945128</v>
      </c>
      <c r="U144" s="148"/>
    </row>
    <row r="145" spans="1:21" s="304" customFormat="1" ht="12.75">
      <c r="A145" s="391" t="s">
        <v>905</v>
      </c>
      <c r="C145" s="247"/>
      <c r="D145" s="247">
        <f aca="true" t="shared" si="76" ref="D145:T145">D$127</f>
        <v>9.0113704</v>
      </c>
      <c r="E145" s="247">
        <f t="shared" si="76"/>
        <v>10.017</v>
      </c>
      <c r="F145" s="392">
        <f t="shared" si="76"/>
        <v>10.017</v>
      </c>
      <c r="G145" s="392">
        <f t="shared" si="76"/>
        <v>10.966999999999999</v>
      </c>
      <c r="H145" s="392">
        <f t="shared" si="76"/>
        <v>11.953</v>
      </c>
      <c r="I145" s="392">
        <f t="shared" si="76"/>
        <v>12.942</v>
      </c>
      <c r="J145" s="392">
        <f t="shared" si="76"/>
        <v>13.838000000000001</v>
      </c>
      <c r="K145" s="303">
        <f t="shared" si="76"/>
        <v>14.542070357123306</v>
      </c>
      <c r="L145" s="303">
        <f t="shared" si="76"/>
        <v>15.44647632022631</v>
      </c>
      <c r="M145" s="303">
        <f t="shared" si="76"/>
        <v>16.40712944250329</v>
      </c>
      <c r="N145" s="303">
        <f t="shared" si="76"/>
        <v>17.427527868641715</v>
      </c>
      <c r="O145" s="303">
        <f t="shared" si="76"/>
        <v>18.51138730127214</v>
      </c>
      <c r="P145" s="303">
        <f t="shared" si="76"/>
        <v>19.66265453141444</v>
      </c>
      <c r="Q145" s="303">
        <f t="shared" si="76"/>
        <v>20.885521810414687</v>
      </c>
      <c r="R145" s="303">
        <f t="shared" si="76"/>
        <v>22.184442115707004</v>
      </c>
      <c r="S145" s="303">
        <f t="shared" si="76"/>
        <v>23.56414536598944</v>
      </c>
      <c r="T145" s="303">
        <f t="shared" si="76"/>
        <v>25.029655644860263</v>
      </c>
      <c r="U145" s="303"/>
    </row>
    <row r="146" spans="1:21" s="304" customFormat="1" ht="13.5" customHeight="1">
      <c r="A146" s="391" t="s">
        <v>906</v>
      </c>
      <c r="C146" s="247"/>
      <c r="D146" s="247">
        <f aca="true" t="shared" si="77" ref="D146:T146">D$136</f>
        <v>5.45701581</v>
      </c>
      <c r="E146" s="247">
        <f t="shared" si="77"/>
        <v>5.599</v>
      </c>
      <c r="F146" s="392">
        <f t="shared" si="77"/>
        <v>5.599</v>
      </c>
      <c r="G146" s="392">
        <f t="shared" si="77"/>
        <v>5.9830000000000005</v>
      </c>
      <c r="H146" s="392">
        <f t="shared" si="77"/>
        <v>6.393</v>
      </c>
      <c r="I146" s="392">
        <f t="shared" si="77"/>
        <v>6.831</v>
      </c>
      <c r="J146" s="392">
        <f t="shared" si="77"/>
        <v>7.297</v>
      </c>
      <c r="K146" s="303">
        <f t="shared" si="77"/>
        <v>7.7976628761813815</v>
      </c>
      <c r="L146" s="303">
        <f t="shared" si="77"/>
        <v>8.331228622261943</v>
      </c>
      <c r="M146" s="303">
        <f t="shared" si="77"/>
        <v>8.90130433420165</v>
      </c>
      <c r="N146" s="303">
        <f t="shared" si="77"/>
        <v>9.510388256344012</v>
      </c>
      <c r="O146" s="303">
        <f t="shared" si="77"/>
        <v>10.161149578818243</v>
      </c>
      <c r="P146" s="303">
        <f t="shared" si="77"/>
        <v>10.85644013473843</v>
      </c>
      <c r="Q146" s="303">
        <f t="shared" si="77"/>
        <v>11.599306897799543</v>
      </c>
      <c r="R146" s="303">
        <f t="shared" si="77"/>
        <v>12.393005335038557</v>
      </c>
      <c r="S146" s="303">
        <f t="shared" si="77"/>
        <v>13.241013673276496</v>
      </c>
      <c r="T146" s="303">
        <f t="shared" si="77"/>
        <v>14.147048141761305</v>
      </c>
      <c r="U146" s="303"/>
    </row>
    <row r="147" spans="1:21" s="304" customFormat="1" ht="12.75">
      <c r="A147" s="391" t="s">
        <v>537</v>
      </c>
      <c r="B147" s="297"/>
      <c r="C147" s="247"/>
      <c r="D147" s="247">
        <f>-(SUM(Data!C$62,Data!C$64)-SUM(D$144,D$145,D$146))-IF($I$1="Yes",D$273,0)</f>
        <v>11.748386210000007</v>
      </c>
      <c r="E147" s="247">
        <f>-(SUM(Data!D$62,Data!D$64)-SUM(E$144,E$145,E$146))-IF($I$1="Yes",E$273,0)</f>
        <v>8.293999999999997</v>
      </c>
      <c r="F147" s="224">
        <f>-(SUM(Data!E$62,Data!E$64)-SUM(F$144,F$145,F$146))-IF($I$1="Yes",F$273,0)</f>
        <v>1.3470000000000013</v>
      </c>
      <c r="G147" s="224">
        <f>-(SUM(Data!F$62,Data!F$64)-SUM(G$144,G$145,G$146))-IF($I$1="Yes",G$273,0)</f>
        <v>1.814</v>
      </c>
      <c r="H147" s="224">
        <f>-(SUM(Data!G$62,Data!G$64)-SUM(H$144,H$145,H$146))-IF($I$1="Yes",H$273,0)</f>
        <v>2.2080000000000126</v>
      </c>
      <c r="I147" s="224">
        <f>-(SUM(Data!H$62,Data!H$64)-SUM(I$144,I$145,I$146))-IF($I$1="Yes",I$273,0)</f>
        <v>2.7690000000000055</v>
      </c>
      <c r="J147" s="224">
        <f>-(SUM(Data!I$62,Data!I$64)-SUM(J$144,J$145,J$146))-IF($I$1="Yes",J$273,0)</f>
        <v>3.438999999999993</v>
      </c>
      <c r="K147" s="303">
        <f aca="true" t="shared" si="78" ref="K147:S147">J$147*(1+K$215)</f>
        <v>3.515370498466602</v>
      </c>
      <c r="L147" s="303">
        <f t="shared" si="78"/>
        <v>3.586406229485577</v>
      </c>
      <c r="M147" s="303">
        <f t="shared" si="78"/>
        <v>3.6581343540752886</v>
      </c>
      <c r="N147" s="303">
        <f t="shared" si="78"/>
        <v>3.7312970411567945</v>
      </c>
      <c r="O147" s="303">
        <f t="shared" si="78"/>
        <v>3.8059229819799305</v>
      </c>
      <c r="P147" s="303">
        <f t="shared" si="78"/>
        <v>3.882041441619529</v>
      </c>
      <c r="Q147" s="303">
        <f t="shared" si="78"/>
        <v>3.9596822704519195</v>
      </c>
      <c r="R147" s="303">
        <f t="shared" si="78"/>
        <v>4.038875915860958</v>
      </c>
      <c r="S147" s="303">
        <f t="shared" si="78"/>
        <v>4.1196534341781765</v>
      </c>
      <c r="T147" s="303">
        <f>S$147*(1+T$215)</f>
        <v>4.20204650286174</v>
      </c>
      <c r="U147" s="303"/>
    </row>
    <row r="148" spans="1:21" s="304" customFormat="1" ht="12.75">
      <c r="A148" s="382" t="s">
        <v>907</v>
      </c>
      <c r="C148" s="247"/>
      <c r="D148" s="141">
        <f>SUM(D$144:D$146)-D147</f>
        <v>35.762</v>
      </c>
      <c r="E148" s="463">
        <f>SUM(E$144:E$146)-E147</f>
        <v>46.022000000000006</v>
      </c>
      <c r="F148" s="390">
        <f aca="true" t="shared" si="79" ref="F148:T148">SUM(F$144:F$146)-F147</f>
        <v>50.121</v>
      </c>
      <c r="G148" s="390">
        <f t="shared" si="79"/>
        <v>50.251</v>
      </c>
      <c r="H148" s="390">
        <f t="shared" si="79"/>
        <v>57.004999999999995</v>
      </c>
      <c r="I148" s="390">
        <f t="shared" si="79"/>
        <v>59.241</v>
      </c>
      <c r="J148" s="390">
        <f>SUM(J$144:J$146)-J147</f>
        <v>61.403000000000006</v>
      </c>
      <c r="K148" s="148">
        <f t="shared" si="79"/>
        <v>66.45928354389534</v>
      </c>
      <c r="L148" s="148">
        <f t="shared" si="79"/>
        <v>71.92923487948595</v>
      </c>
      <c r="M148" s="148">
        <f t="shared" si="79"/>
        <v>77.72146216651385</v>
      </c>
      <c r="N148" s="148">
        <f t="shared" si="79"/>
        <v>83.89600391576917</v>
      </c>
      <c r="O148" s="148">
        <f t="shared" si="79"/>
        <v>90.46802926361607</v>
      </c>
      <c r="P148" s="148">
        <f t="shared" si="79"/>
        <v>97.43689578170299</v>
      </c>
      <c r="Q148" s="148">
        <f t="shared" si="79"/>
        <v>104.80610467980289</v>
      </c>
      <c r="R148" s="148">
        <f t="shared" si="79"/>
        <v>112.50675447877711</v>
      </c>
      <c r="S148" s="148">
        <f t="shared" si="79"/>
        <v>120.53471725720948</v>
      </c>
      <c r="T148" s="148">
        <f t="shared" si="79"/>
        <v>128.8697302432111</v>
      </c>
      <c r="U148" s="148"/>
    </row>
    <row r="149" spans="1:21" s="304" customFormat="1" ht="12.75">
      <c r="A149" s="382"/>
      <c r="C149" s="247"/>
      <c r="D149" s="141"/>
      <c r="E149" s="463"/>
      <c r="F149" s="390"/>
      <c r="G149" s="390"/>
      <c r="H149" s="390"/>
      <c r="I149" s="390"/>
      <c r="J149" s="390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</row>
    <row r="150" spans="1:21" s="108" customFormat="1" ht="12.75">
      <c r="A150" s="150" t="s">
        <v>148</v>
      </c>
      <c r="C150" s="121"/>
      <c r="D150" s="121"/>
      <c r="E150" s="459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</row>
    <row r="151" spans="1:21" s="108" customFormat="1" ht="12.75">
      <c r="A151" s="50" t="s">
        <v>577</v>
      </c>
      <c r="C151" s="121"/>
      <c r="D151" s="247">
        <f>Data!C$160</f>
        <v>5.569</v>
      </c>
      <c r="E151" s="459">
        <f aca="true" t="shared" si="80" ref="E151:J151">D157</f>
        <v>6.011</v>
      </c>
      <c r="F151" s="289">
        <f t="shared" si="80"/>
        <v>6.741</v>
      </c>
      <c r="G151" s="289">
        <f t="shared" si="80"/>
        <v>7.173</v>
      </c>
      <c r="H151" s="289">
        <f t="shared" si="80"/>
        <v>7.599000000000001</v>
      </c>
      <c r="I151" s="289">
        <f t="shared" si="80"/>
        <v>8.022</v>
      </c>
      <c r="J151" s="289">
        <f t="shared" si="80"/>
        <v>8.440999999999999</v>
      </c>
      <c r="K151" s="140">
        <f aca="true" t="shared" si="81" ref="K151:S151">J$157</f>
        <v>8.851999999999999</v>
      </c>
      <c r="L151" s="140">
        <f t="shared" si="81"/>
        <v>9.257411604744867</v>
      </c>
      <c r="M151" s="140">
        <f t="shared" si="81"/>
        <v>9.65930992712406</v>
      </c>
      <c r="N151" s="140">
        <f t="shared" si="81"/>
        <v>10.05619783937826</v>
      </c>
      <c r="O151" s="140">
        <f t="shared" si="81"/>
        <v>10.44369313351828</v>
      </c>
      <c r="P151" s="140">
        <f t="shared" si="81"/>
        <v>10.8223124071786</v>
      </c>
      <c r="Q151" s="140">
        <f t="shared" si="81"/>
        <v>11.194299481365034</v>
      </c>
      <c r="R151" s="140">
        <f t="shared" si="81"/>
        <v>11.557560127700686</v>
      </c>
      <c r="S151" s="140">
        <f t="shared" si="81"/>
        <v>11.910939357488157</v>
      </c>
      <c r="T151" s="140">
        <f>S$157</f>
        <v>12.252379746962445</v>
      </c>
      <c r="U151" s="140"/>
    </row>
    <row r="152" spans="1:21" s="108" customFormat="1" ht="12.75">
      <c r="A152" s="222" t="s">
        <v>872</v>
      </c>
      <c r="C152" s="121"/>
      <c r="D152" s="121">
        <f>Data!C$161</f>
        <v>1.176</v>
      </c>
      <c r="E152" s="459">
        <f>Data!D$161</f>
        <v>1.201</v>
      </c>
      <c r="F152" s="289">
        <f>Data!E$161</f>
        <v>1.298</v>
      </c>
      <c r="G152" s="289">
        <f>Data!F$161</f>
        <v>1.384</v>
      </c>
      <c r="H152" s="289">
        <f>Data!G$161</f>
        <v>1.47</v>
      </c>
      <c r="I152" s="289">
        <f>Data!H$161</f>
        <v>1.558</v>
      </c>
      <c r="J152" s="289">
        <f>Data!I$161</f>
        <v>1.638</v>
      </c>
      <c r="K152" s="140">
        <f>J$152*Tracks!W$23/Tracks!V$23</f>
        <v>1.7163778727148506</v>
      </c>
      <c r="L152" s="140">
        <f>K$152*Tracks!X$23/Tracks!W$23</f>
        <v>1.7926194184476894</v>
      </c>
      <c r="M152" s="140">
        <f>L$152*Tracks!Y$23/Tracks!X$23</f>
        <v>1.8667138066016298</v>
      </c>
      <c r="N152" s="140">
        <f>M$152*Tracks!Z$23/Tracks!Y$23</f>
        <v>1.9386841282938767</v>
      </c>
      <c r="O152" s="140">
        <f>N$152*Tracks!AA$23/Tracks!Z$23</f>
        <v>2.0085810918707208</v>
      </c>
      <c r="P152" s="140">
        <f>O$152*Tracks!AB$23/Tracks!AA$23</f>
        <v>2.0764773374109953</v>
      </c>
      <c r="Q152" s="140">
        <f>P$152*Tracks!AC$23/Tracks!AB$23</f>
        <v>2.1424624092229783</v>
      </c>
      <c r="R152" s="140">
        <f>Q$152*Tracks!AD$23/Tracks!AC$23</f>
        <v>2.206638387658089</v>
      </c>
      <c r="S152" s="140">
        <f>R$152*Tracks!AE$23/Tracks!AD$23</f>
        <v>2.2691161551226857</v>
      </c>
      <c r="T152" s="140">
        <f>S$152*Tracks!AF$23/Tracks!AE$23</f>
        <v>2.330106579657414</v>
      </c>
      <c r="U152" s="140"/>
    </row>
    <row r="153" spans="1:21" s="108" customFormat="1" ht="12.75">
      <c r="A153" s="230" t="s">
        <v>873</v>
      </c>
      <c r="C153" s="121"/>
      <c r="D153" s="121">
        <f>Data!C$162</f>
        <v>0.488</v>
      </c>
      <c r="E153" s="459">
        <f>Data!D$162</f>
        <v>0.487</v>
      </c>
      <c r="F153" s="289">
        <f>Data!E$162</f>
        <v>0.503</v>
      </c>
      <c r="G153" s="289">
        <f>Data!F$162</f>
        <v>0.536</v>
      </c>
      <c r="H153" s="289">
        <f>Data!G$162</f>
        <v>0.57</v>
      </c>
      <c r="I153" s="289">
        <f>Data!H$162</f>
        <v>0.604</v>
      </c>
      <c r="J153" s="289">
        <f>Data!I$162</f>
        <v>0.634</v>
      </c>
      <c r="K153" s="140">
        <f aca="true" t="shared" si="82" ref="K153:S153">J$153*K$152/J$152</f>
        <v>0.6643367346161266</v>
      </c>
      <c r="L153" s="140">
        <f t="shared" si="82"/>
        <v>0.6938465880926955</v>
      </c>
      <c r="M153" s="140">
        <f t="shared" si="82"/>
        <v>0.7225253683671755</v>
      </c>
      <c r="N153" s="140">
        <f t="shared" si="82"/>
        <v>0.7503820130270562</v>
      </c>
      <c r="O153" s="140">
        <f t="shared" si="82"/>
        <v>0.7774361491123548</v>
      </c>
      <c r="P153" s="140">
        <f t="shared" si="82"/>
        <v>0.8037158925021802</v>
      </c>
      <c r="Q153" s="140">
        <f t="shared" si="82"/>
        <v>0.8292559019825204</v>
      </c>
      <c r="R153" s="140">
        <f t="shared" si="82"/>
        <v>0.8540956885074656</v>
      </c>
      <c r="S153" s="140">
        <f t="shared" si="82"/>
        <v>0.8782781699314914</v>
      </c>
      <c r="T153" s="140">
        <f>S$153*T$152/S$152</f>
        <v>0.901884964287424</v>
      </c>
      <c r="U153" s="140"/>
    </row>
    <row r="154" spans="1:21" s="108" customFormat="1" ht="12.75">
      <c r="A154" s="222" t="s">
        <v>874</v>
      </c>
      <c r="C154" s="121"/>
      <c r="D154" s="121">
        <f>Data!C$163</f>
        <v>0.555</v>
      </c>
      <c r="E154" s="459">
        <f>Data!D$163</f>
        <v>0.629</v>
      </c>
      <c r="F154" s="289">
        <f>Data!E$163</f>
        <v>0.703</v>
      </c>
      <c r="G154" s="289">
        <f>Data!F$163</f>
        <v>0.795</v>
      </c>
      <c r="H154" s="289">
        <f>Data!G$163</f>
        <v>0.879</v>
      </c>
      <c r="I154" s="289">
        <f>Data!H$163</f>
        <v>0.965</v>
      </c>
      <c r="J154" s="289">
        <f>Data!I$163</f>
        <v>1.05</v>
      </c>
      <c r="K154" s="140">
        <f>J$154*Tracks!W$27/Tracks!V$27</f>
        <v>1.1254034937993254</v>
      </c>
      <c r="L154" s="140">
        <f>K$154*Tracks!X$27/Tracks!W$27</f>
        <v>1.1967551147966937</v>
      </c>
      <c r="M154" s="140">
        <f>L$154*Tracks!Y$27/Tracks!X$27</f>
        <v>1.267589421498219</v>
      </c>
      <c r="N154" s="140">
        <f>M$154*Tracks!Z$27/Tracks!Y$27</f>
        <v>1.3408333422204526</v>
      </c>
      <c r="O154" s="140">
        <f>N$154*Tracks!AA$27/Tracks!Z$27</f>
        <v>1.411694362968915</v>
      </c>
      <c r="P154" s="140">
        <f>O$154*Tracks!AB$27/Tracks!AA$27</f>
        <v>1.478508180250572</v>
      </c>
      <c r="Q154" s="140">
        <f>P$154*Tracks!AC$27/Tracks!AB$27</f>
        <v>1.5456692732718098</v>
      </c>
      <c r="R154" s="140">
        <f>Q$154*Tracks!AD$27/Tracks!AC$27</f>
        <v>1.6123639088908837</v>
      </c>
      <c r="S154" s="140">
        <f>R$154*Tracks!AE$27/Tracks!AD$27</f>
        <v>1.6796161250101647</v>
      </c>
      <c r="T154" s="140">
        <f>S$154*Tracks!AF$27/Tracks!AE$27</f>
        <v>1.747226299111248</v>
      </c>
      <c r="U154" s="140"/>
    </row>
    <row r="155" spans="1:21" s="304" customFormat="1" ht="12.75">
      <c r="A155" s="391" t="s">
        <v>538</v>
      </c>
      <c r="C155" s="247"/>
      <c r="D155" s="247">
        <f>Data!C$164</f>
        <v>0.36</v>
      </c>
      <c r="E155" s="457">
        <f>Data!D$164</f>
        <v>0.407</v>
      </c>
      <c r="F155" s="392">
        <f>Data!E$164</f>
        <v>0.452</v>
      </c>
      <c r="G155" s="392">
        <f>Data!F$164</f>
        <v>0.483</v>
      </c>
      <c r="H155" s="392">
        <f>Data!G$164</f>
        <v>0.51</v>
      </c>
      <c r="I155" s="392">
        <f>Data!H$164</f>
        <v>0.539</v>
      </c>
      <c r="J155" s="392">
        <f>Data!I$164</f>
        <v>0.568</v>
      </c>
      <c r="K155" s="303">
        <f aca="true" t="shared" si="83" ref="K155:S155">J$155*K$152/J$152</f>
        <v>0.5951786518327443</v>
      </c>
      <c r="L155" s="303">
        <f t="shared" si="83"/>
        <v>0.6216165016350962</v>
      </c>
      <c r="M155" s="303">
        <f t="shared" si="83"/>
        <v>0.6473097937422013</v>
      </c>
      <c r="N155" s="303">
        <f t="shared" si="83"/>
        <v>0.6722665353302332</v>
      </c>
      <c r="O155" s="303">
        <f t="shared" si="83"/>
        <v>0.6965043102457689</v>
      </c>
      <c r="P155" s="303">
        <f t="shared" si="83"/>
        <v>0.7200483074782938</v>
      </c>
      <c r="Q155" s="303">
        <f t="shared" si="83"/>
        <v>0.7429295778013747</v>
      </c>
      <c r="R155" s="303">
        <f t="shared" si="83"/>
        <v>0.7651835190413887</v>
      </c>
      <c r="S155" s="303">
        <f t="shared" si="83"/>
        <v>0.7868485812635443</v>
      </c>
      <c r="T155" s="303">
        <f>S$155*T$152/S$152</f>
        <v>0.8079978859862095</v>
      </c>
      <c r="U155" s="303"/>
    </row>
    <row r="156" spans="1:21" s="304" customFormat="1" ht="12.75">
      <c r="A156" s="389" t="s">
        <v>875</v>
      </c>
      <c r="B156" s="297"/>
      <c r="C156" s="247"/>
      <c r="D156" s="247">
        <f>Data!C$165-Data!C$166</f>
        <v>0.05099999999999999</v>
      </c>
      <c r="E156" s="457">
        <f>Data!D$165-Data!D$166</f>
        <v>-0.23800000000000002</v>
      </c>
      <c r="F156" s="224">
        <f>Data!E$165-Data!E$166</f>
        <v>0.112</v>
      </c>
      <c r="G156" s="224">
        <f>Data!F$165-Data!F$166</f>
        <v>0.11</v>
      </c>
      <c r="H156" s="224">
        <f>Data!G$165-Data!G$166</f>
        <v>0.108</v>
      </c>
      <c r="I156" s="224">
        <f>Data!H$165-Data!H$166</f>
        <v>0.109</v>
      </c>
      <c r="J156" s="224">
        <f>Data!I$165-Data!I$166</f>
        <v>0.111</v>
      </c>
      <c r="K156" s="303">
        <f aca="true" t="shared" si="84" ref="K156:S156">J$156*K$151/J$151</f>
        <v>0.1164046913872764</v>
      </c>
      <c r="L156" s="303">
        <f t="shared" si="84"/>
        <v>0.12173589481420218</v>
      </c>
      <c r="M156" s="303">
        <f t="shared" si="84"/>
        <v>0.1270208982242354</v>
      </c>
      <c r="N156" s="303">
        <f t="shared" si="84"/>
        <v>0.13224001423658185</v>
      </c>
      <c r="O156" s="303">
        <f t="shared" si="84"/>
        <v>0.13733561637489985</v>
      </c>
      <c r="P156" s="303">
        <f t="shared" si="84"/>
        <v>0.14231449795010367</v>
      </c>
      <c r="Q156" s="303">
        <f t="shared" si="84"/>
        <v>0.14720616543437023</v>
      </c>
      <c r="R156" s="303">
        <f t="shared" si="84"/>
        <v>0.15198307951365675</v>
      </c>
      <c r="S156" s="303">
        <f t="shared" si="84"/>
        <v>0.1566300519702862</v>
      </c>
      <c r="T156" s="303">
        <f>S$156*T$151/S$151</f>
        <v>0.16112002747456838</v>
      </c>
      <c r="U156" s="303"/>
    </row>
    <row r="157" spans="1:21" s="304" customFormat="1" ht="12.75">
      <c r="A157" s="382" t="s">
        <v>149</v>
      </c>
      <c r="B157" s="297"/>
      <c r="C157" s="247"/>
      <c r="D157" s="141">
        <f aca="true" t="shared" si="85" ref="D157:T157">SUM(D151:D152,D155)-SUM(D153:D154,D156)</f>
        <v>6.011</v>
      </c>
      <c r="E157" s="463">
        <f t="shared" si="85"/>
        <v>6.741</v>
      </c>
      <c r="F157" s="390">
        <f t="shared" si="85"/>
        <v>7.173</v>
      </c>
      <c r="G157" s="390">
        <f t="shared" si="85"/>
        <v>7.599000000000001</v>
      </c>
      <c r="H157" s="390">
        <f t="shared" si="85"/>
        <v>8.022</v>
      </c>
      <c r="I157" s="390">
        <f>SUM(I151:I152,I155)-SUM(I153:I154,I156)</f>
        <v>8.440999999999999</v>
      </c>
      <c r="J157" s="390">
        <f>SUM(J151:J152,J155)-SUM(J153:J154,J156)</f>
        <v>8.851999999999999</v>
      </c>
      <c r="K157" s="299">
        <f t="shared" si="85"/>
        <v>9.257411604744867</v>
      </c>
      <c r="L157" s="299">
        <f t="shared" si="85"/>
        <v>9.65930992712406</v>
      </c>
      <c r="M157" s="299">
        <f t="shared" si="85"/>
        <v>10.05619783937826</v>
      </c>
      <c r="N157" s="299">
        <f t="shared" si="85"/>
        <v>10.44369313351828</v>
      </c>
      <c r="O157" s="299">
        <f t="shared" si="85"/>
        <v>10.8223124071786</v>
      </c>
      <c r="P157" s="299">
        <f t="shared" si="85"/>
        <v>11.194299481365034</v>
      </c>
      <c r="Q157" s="299">
        <f t="shared" si="85"/>
        <v>11.557560127700686</v>
      </c>
      <c r="R157" s="299">
        <f t="shared" si="85"/>
        <v>11.910939357488157</v>
      </c>
      <c r="S157" s="299">
        <f t="shared" si="85"/>
        <v>12.252379746962445</v>
      </c>
      <c r="T157" s="299">
        <f t="shared" si="85"/>
        <v>12.580252921732828</v>
      </c>
      <c r="U157" s="299"/>
    </row>
    <row r="158" spans="1:21" s="304" customFormat="1" ht="12.75">
      <c r="A158" s="382"/>
      <c r="B158" s="331"/>
      <c r="C158" s="103"/>
      <c r="D158" s="103"/>
      <c r="E158" s="465"/>
      <c r="F158" s="393"/>
      <c r="G158" s="393"/>
      <c r="H158" s="393"/>
      <c r="I158" s="393"/>
      <c r="J158" s="39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</row>
    <row r="159" spans="1:21" s="330" customFormat="1" ht="12.75">
      <c r="A159" s="394" t="s">
        <v>812</v>
      </c>
      <c r="B159" s="63"/>
      <c r="C159" s="103"/>
      <c r="D159" s="395"/>
      <c r="E159" s="465"/>
      <c r="F159" s="393"/>
      <c r="G159" s="393"/>
      <c r="H159" s="393"/>
      <c r="I159" s="359"/>
      <c r="J159" s="359"/>
      <c r="K159" s="396"/>
      <c r="L159" s="396"/>
      <c r="M159" s="396"/>
      <c r="N159" s="396"/>
      <c r="O159" s="396"/>
      <c r="P159" s="396"/>
      <c r="Q159" s="396"/>
      <c r="R159" s="396"/>
      <c r="S159" s="360"/>
      <c r="T159" s="360"/>
      <c r="U159" s="360"/>
    </row>
    <row r="160" spans="1:21" s="304" customFormat="1" ht="12.75">
      <c r="A160" s="302" t="s">
        <v>949</v>
      </c>
      <c r="B160" s="299"/>
      <c r="C160" s="247"/>
      <c r="D160" s="247">
        <f>Data!C$201</f>
        <v>1.3383470000000002</v>
      </c>
      <c r="E160" s="247">
        <f>Data!D$201</f>
        <v>0.53806</v>
      </c>
      <c r="F160" s="173">
        <f>Data!E$201</f>
        <v>0.771733</v>
      </c>
      <c r="G160" s="173">
        <f>Data!F$201</f>
        <v>1.495438</v>
      </c>
      <c r="H160" s="173">
        <f>Data!G$201</f>
        <v>1.821384</v>
      </c>
      <c r="I160" s="173">
        <f>Data!H$201</f>
        <v>2.156039</v>
      </c>
      <c r="J160" s="173">
        <f>Data!I$201</f>
        <v>2.490901</v>
      </c>
      <c r="K160" s="140">
        <f>J$160*(1+K$215)</f>
        <v>2.5462168915385215</v>
      </c>
      <c r="L160" s="140">
        <f aca="true" t="shared" si="86" ref="L160:T160">K$160*(1+L$215)</f>
        <v>2.5976687593579153</v>
      </c>
      <c r="M160" s="140">
        <f t="shared" si="86"/>
        <v>2.6496221345450737</v>
      </c>
      <c r="N160" s="140">
        <f t="shared" si="86"/>
        <v>2.702614577235975</v>
      </c>
      <c r="O160" s="140">
        <f t="shared" si="86"/>
        <v>2.7566668687806946</v>
      </c>
      <c r="P160" s="140">
        <f t="shared" si="86"/>
        <v>2.8118002061563083</v>
      </c>
      <c r="Q160" s="140">
        <f t="shared" si="86"/>
        <v>2.8680362102794343</v>
      </c>
      <c r="R160" s="140">
        <f t="shared" si="86"/>
        <v>2.9253969344850232</v>
      </c>
      <c r="S160" s="140">
        <f t="shared" si="86"/>
        <v>2.983904873174724</v>
      </c>
      <c r="T160" s="140">
        <f t="shared" si="86"/>
        <v>3.0435829706382185</v>
      </c>
      <c r="U160" s="360"/>
    </row>
    <row r="161" spans="1:21" s="108" customFormat="1" ht="12.75">
      <c r="A161" s="302" t="s">
        <v>948</v>
      </c>
      <c r="C161" s="251"/>
      <c r="D161" s="247">
        <f>Data!C198-D157</f>
        <v>4.324000000000001</v>
      </c>
      <c r="E161" s="247">
        <f>Data!D198-E157</f>
        <v>4.285</v>
      </c>
      <c r="F161" s="173">
        <f>Data!E198-F157</f>
        <v>4.765000000000001</v>
      </c>
      <c r="G161" s="173">
        <f>Data!F198-G157</f>
        <v>4.737999999999999</v>
      </c>
      <c r="H161" s="173">
        <f>Data!G198-H157</f>
        <v>4.949</v>
      </c>
      <c r="I161" s="173">
        <f>Data!H198-I157</f>
        <v>4.974</v>
      </c>
      <c r="J161" s="173">
        <f>Data!I198-J157</f>
        <v>5.030000000000001</v>
      </c>
      <c r="K161" s="140">
        <f aca="true" t="shared" si="87" ref="K161:S161">J$161*(1+K$215)</f>
        <v>5.141702124829035</v>
      </c>
      <c r="L161" s="140">
        <f t="shared" si="87"/>
        <v>5.245601434810263</v>
      </c>
      <c r="M161" s="140">
        <f t="shared" si="87"/>
        <v>5.350513463506468</v>
      </c>
      <c r="N161" s="140">
        <f t="shared" si="87"/>
        <v>5.457523732776598</v>
      </c>
      <c r="O161" s="140">
        <f t="shared" si="87"/>
        <v>5.56667420743213</v>
      </c>
      <c r="P161" s="140">
        <f t="shared" si="87"/>
        <v>5.678007691580773</v>
      </c>
      <c r="Q161" s="140">
        <f t="shared" si="87"/>
        <v>5.791567845412389</v>
      </c>
      <c r="R161" s="140">
        <f t="shared" si="87"/>
        <v>5.9073992023206365</v>
      </c>
      <c r="S161" s="140">
        <f t="shared" si="87"/>
        <v>6.025547186367049</v>
      </c>
      <c r="T161" s="140">
        <f>S$161*(1+T$215)</f>
        <v>6.14605813009439</v>
      </c>
      <c r="U161" s="140"/>
    </row>
    <row r="162" spans="1:21" s="108" customFormat="1" ht="13.5" customHeight="1">
      <c r="A162" s="50" t="s">
        <v>482</v>
      </c>
      <c r="C162" s="251"/>
      <c r="D162" s="121">
        <f>Data!C$116</f>
        <v>-0.22034699999999996</v>
      </c>
      <c r="E162" s="121">
        <f>Data!D$116</f>
        <v>0.334</v>
      </c>
      <c r="F162" s="173">
        <f>Data!E$116</f>
        <v>0.575267</v>
      </c>
      <c r="G162" s="173">
        <f>Data!F$116</f>
        <v>0.5755620000000001</v>
      </c>
      <c r="H162" s="173">
        <f>Data!G$116</f>
        <v>0.578616</v>
      </c>
      <c r="I162" s="173">
        <f>Data!H$116</f>
        <v>0.5849610000000003</v>
      </c>
      <c r="J162" s="173">
        <f>Data!I$116</f>
        <v>0.585099</v>
      </c>
      <c r="K162" s="140">
        <f aca="true" t="shared" si="88" ref="K162:S162">J162</f>
        <v>0.585099</v>
      </c>
      <c r="L162" s="140">
        <f t="shared" si="88"/>
        <v>0.585099</v>
      </c>
      <c r="M162" s="140">
        <f t="shared" si="88"/>
        <v>0.585099</v>
      </c>
      <c r="N162" s="140">
        <f t="shared" si="88"/>
        <v>0.585099</v>
      </c>
      <c r="O162" s="140">
        <f t="shared" si="88"/>
        <v>0.585099</v>
      </c>
      <c r="P162" s="140">
        <f t="shared" si="88"/>
        <v>0.585099</v>
      </c>
      <c r="Q162" s="140">
        <f t="shared" si="88"/>
        <v>0.585099</v>
      </c>
      <c r="R162" s="140">
        <f t="shared" si="88"/>
        <v>0.585099</v>
      </c>
      <c r="S162" s="140">
        <f t="shared" si="88"/>
        <v>0.585099</v>
      </c>
      <c r="T162" s="140">
        <f>S162</f>
        <v>0.585099</v>
      </c>
      <c r="U162" s="140"/>
    </row>
    <row r="163" spans="1:21" s="108" customFormat="1" ht="12.75">
      <c r="A163" s="46" t="s">
        <v>804</v>
      </c>
      <c r="B163" s="139"/>
      <c r="C163" s="121"/>
      <c r="D163" s="296">
        <f aca="true" t="shared" si="89" ref="D163:K163">D160+D161+D162</f>
        <v>5.442</v>
      </c>
      <c r="E163" s="296">
        <f>E160+E161+E162</f>
        <v>5.1570599999999995</v>
      </c>
      <c r="F163" s="293">
        <f t="shared" si="89"/>
        <v>6.112000000000001</v>
      </c>
      <c r="G163" s="293">
        <f t="shared" si="89"/>
        <v>6.808999999999999</v>
      </c>
      <c r="H163" s="293">
        <f t="shared" si="89"/>
        <v>7.349</v>
      </c>
      <c r="I163" s="293">
        <f t="shared" si="89"/>
        <v>7.715</v>
      </c>
      <c r="J163" s="293">
        <f t="shared" si="89"/>
        <v>8.106000000000002</v>
      </c>
      <c r="K163" s="149">
        <f t="shared" si="89"/>
        <v>8.273018016367557</v>
      </c>
      <c r="L163" s="149">
        <f aca="true" t="shared" si="90" ref="L163:T163">L160+L161+L162</f>
        <v>8.428369194168178</v>
      </c>
      <c r="M163" s="149">
        <f t="shared" si="90"/>
        <v>8.585234598051542</v>
      </c>
      <c r="N163" s="149">
        <f t="shared" si="90"/>
        <v>8.745237310012573</v>
      </c>
      <c r="O163" s="149">
        <f t="shared" si="90"/>
        <v>8.908440076212823</v>
      </c>
      <c r="P163" s="149">
        <f t="shared" si="90"/>
        <v>9.074906897737081</v>
      </c>
      <c r="Q163" s="149">
        <f t="shared" si="90"/>
        <v>9.244703055691822</v>
      </c>
      <c r="R163" s="149">
        <f t="shared" si="90"/>
        <v>9.41789513680566</v>
      </c>
      <c r="S163" s="149">
        <f t="shared" si="90"/>
        <v>9.594551059541773</v>
      </c>
      <c r="T163" s="149">
        <f t="shared" si="90"/>
        <v>9.774740100732608</v>
      </c>
      <c r="U163" s="149"/>
    </row>
    <row r="164" spans="1:21" s="108" customFormat="1" ht="12.75">
      <c r="A164" s="222" t="s">
        <v>218</v>
      </c>
      <c r="B164" s="139"/>
      <c r="C164" s="121"/>
      <c r="D164" s="121">
        <f>Data!C63</f>
        <v>13.581</v>
      </c>
      <c r="E164" s="121">
        <f>Data!D63</f>
        <v>12.964</v>
      </c>
      <c r="F164" s="173">
        <f>Data!E63</f>
        <v>8.5</v>
      </c>
      <c r="G164" s="173">
        <f>Data!F63</f>
        <v>9.5</v>
      </c>
      <c r="H164" s="173">
        <f>Data!G63</f>
        <v>10</v>
      </c>
      <c r="I164" s="173">
        <f>Data!H63</f>
        <v>10</v>
      </c>
      <c r="J164" s="173">
        <f>Data!I63</f>
        <v>10</v>
      </c>
      <c r="K164" s="140">
        <f aca="true" t="shared" si="91" ref="K164:S164">J164</f>
        <v>10</v>
      </c>
      <c r="L164" s="140">
        <f t="shared" si="91"/>
        <v>10</v>
      </c>
      <c r="M164" s="140">
        <f t="shared" si="91"/>
        <v>10</v>
      </c>
      <c r="N164" s="140">
        <f t="shared" si="91"/>
        <v>10</v>
      </c>
      <c r="O164" s="140">
        <f t="shared" si="91"/>
        <v>10</v>
      </c>
      <c r="P164" s="140">
        <f t="shared" si="91"/>
        <v>10</v>
      </c>
      <c r="Q164" s="140">
        <f t="shared" si="91"/>
        <v>10</v>
      </c>
      <c r="R164" s="140">
        <f t="shared" si="91"/>
        <v>10</v>
      </c>
      <c r="S164" s="140">
        <f t="shared" si="91"/>
        <v>10</v>
      </c>
      <c r="T164" s="140">
        <f>S164</f>
        <v>10</v>
      </c>
      <c r="U164" s="140"/>
    </row>
    <row r="165" spans="1:21" s="108" customFormat="1" ht="12.75">
      <c r="A165" s="222" t="s">
        <v>219</v>
      </c>
      <c r="B165" s="139"/>
      <c r="C165" s="121"/>
      <c r="D165" s="121">
        <f>SUM(Data!C$60,Data!C$65)-D$157-D$163</f>
        <v>0.8659999999999988</v>
      </c>
      <c r="E165" s="121">
        <f>SUM(Data!D$60,Data!D$65)-E$157-E$163</f>
        <v>0.020939999999999515</v>
      </c>
      <c r="F165" s="173">
        <f>SUM(Data!E$60,Data!E$65)-F$157-F$163</f>
        <v>1.0610000000000008</v>
      </c>
      <c r="G165" s="173">
        <f>SUM(Data!F$60,Data!F$65)-G$157-G$163</f>
        <v>1.137999999999999</v>
      </c>
      <c r="H165" s="173">
        <f>SUM(Data!G$60,Data!G$65)-H$157-H$163</f>
        <v>0.8559999999999999</v>
      </c>
      <c r="I165" s="173">
        <f>SUM(Data!H$60,Data!H$65)-I$157-I$163</f>
        <v>1.1189999999999998</v>
      </c>
      <c r="J165" s="173">
        <f>SUM(Data!I$60,Data!I$65)-J$157-J$163</f>
        <v>1.4900000000000002</v>
      </c>
      <c r="K165" s="140">
        <f aca="true" t="shared" si="92" ref="K165:T165">J165*(1+K212)</f>
        <v>1.554075134298033</v>
      </c>
      <c r="L165" s="140">
        <f t="shared" si="92"/>
        <v>1.6158357186892618</v>
      </c>
      <c r="M165" s="140">
        <f t="shared" si="92"/>
        <v>1.685901388166829</v>
      </c>
      <c r="N165" s="140">
        <f t="shared" si="92"/>
        <v>1.7654855200811357</v>
      </c>
      <c r="O165" s="140">
        <f t="shared" si="92"/>
        <v>1.8467645597777995</v>
      </c>
      <c r="P165" s="140">
        <f t="shared" si="92"/>
        <v>1.9297765682944403</v>
      </c>
      <c r="Q165" s="140">
        <f t="shared" si="92"/>
        <v>2.014717011737979</v>
      </c>
      <c r="R165" s="140">
        <f t="shared" si="92"/>
        <v>2.101565908720262</v>
      </c>
      <c r="S165" s="140">
        <f t="shared" si="92"/>
        <v>2.1912670355434827</v>
      </c>
      <c r="T165" s="140">
        <f t="shared" si="92"/>
        <v>2.281260739199879</v>
      </c>
      <c r="U165" s="140"/>
    </row>
    <row r="166" spans="1:21" s="108" customFormat="1" ht="12.75">
      <c r="A166" s="46" t="s">
        <v>217</v>
      </c>
      <c r="B166" s="139"/>
      <c r="C166" s="121"/>
      <c r="D166" s="296">
        <f aca="true" t="shared" si="93" ref="D166:J166">SUM(D163:D165)</f>
        <v>19.889</v>
      </c>
      <c r="E166" s="296">
        <f>SUM(E163:E165)</f>
        <v>18.142</v>
      </c>
      <c r="F166" s="293">
        <f t="shared" si="93"/>
        <v>15.673000000000002</v>
      </c>
      <c r="G166" s="293">
        <f t="shared" si="93"/>
        <v>17.446999999999996</v>
      </c>
      <c r="H166" s="293">
        <f t="shared" si="93"/>
        <v>18.205</v>
      </c>
      <c r="I166" s="293">
        <f t="shared" si="93"/>
        <v>18.834</v>
      </c>
      <c r="J166" s="293">
        <f t="shared" si="93"/>
        <v>19.596000000000004</v>
      </c>
      <c r="K166" s="149">
        <f aca="true" t="shared" si="94" ref="K166:T166">SUM(K163:K165)</f>
        <v>19.82709315066559</v>
      </c>
      <c r="L166" s="149">
        <f t="shared" si="94"/>
        <v>20.044204912857438</v>
      </c>
      <c r="M166" s="149">
        <f t="shared" si="94"/>
        <v>20.271135986218372</v>
      </c>
      <c r="N166" s="149">
        <f t="shared" si="94"/>
        <v>20.51072283009371</v>
      </c>
      <c r="O166" s="149">
        <f t="shared" si="94"/>
        <v>20.755204635990623</v>
      </c>
      <c r="P166" s="149">
        <f t="shared" si="94"/>
        <v>21.00468346603152</v>
      </c>
      <c r="Q166" s="149">
        <f t="shared" si="94"/>
        <v>21.2594200674298</v>
      </c>
      <c r="R166" s="149">
        <f t="shared" si="94"/>
        <v>21.519461045525922</v>
      </c>
      <c r="S166" s="149">
        <f t="shared" si="94"/>
        <v>21.785818095085254</v>
      </c>
      <c r="T166" s="149">
        <f t="shared" si="94"/>
        <v>22.056000839932487</v>
      </c>
      <c r="U166" s="149"/>
    </row>
    <row r="167" spans="1:21" s="108" customFormat="1" ht="12.75">
      <c r="A167" s="46" t="s">
        <v>876</v>
      </c>
      <c r="B167" s="142"/>
      <c r="C167" s="121"/>
      <c r="D167" s="296">
        <f>Data!C$117</f>
        <v>7.59</v>
      </c>
      <c r="E167" s="296">
        <f>Data!D$117</f>
        <v>9.189</v>
      </c>
      <c r="F167" s="293">
        <f>Data!E$117</f>
        <v>9.376</v>
      </c>
      <c r="G167" s="293">
        <f>Data!F$117</f>
        <v>9.295</v>
      </c>
      <c r="H167" s="293">
        <f>Data!G$117</f>
        <v>9.116</v>
      </c>
      <c r="I167" s="293">
        <f>Data!H$117</f>
        <v>8.967</v>
      </c>
      <c r="J167" s="293">
        <f>Data!I$117</f>
        <v>8.87</v>
      </c>
      <c r="K167" s="149">
        <f aca="true" t="shared" si="95" ref="K167:S167">J$167*(1+K$215)</f>
        <v>9.06697770322734</v>
      </c>
      <c r="L167" s="149">
        <f t="shared" si="95"/>
        <v>9.250195770729029</v>
      </c>
      <c r="M167" s="149">
        <f t="shared" si="95"/>
        <v>9.43519968614361</v>
      </c>
      <c r="N167" s="149">
        <f t="shared" si="95"/>
        <v>9.623903679866483</v>
      </c>
      <c r="O167" s="149">
        <f t="shared" si="95"/>
        <v>9.816381753463814</v>
      </c>
      <c r="P167" s="149">
        <f t="shared" si="95"/>
        <v>10.012709388533091</v>
      </c>
      <c r="Q167" s="149">
        <f t="shared" si="95"/>
        <v>10.212963576303753</v>
      </c>
      <c r="R167" s="149">
        <f t="shared" si="95"/>
        <v>10.417222847829828</v>
      </c>
      <c r="S167" s="149">
        <f t="shared" si="95"/>
        <v>10.625567304786426</v>
      </c>
      <c r="T167" s="149">
        <f>S$167*(1+T$215)</f>
        <v>10.838078650882155</v>
      </c>
      <c r="U167" s="149"/>
    </row>
    <row r="168" spans="1:21" ht="12.75">
      <c r="A168" s="46" t="s">
        <v>883</v>
      </c>
      <c r="B168" s="142"/>
      <c r="C168" s="99"/>
      <c r="D168" s="296">
        <f>Data!C$61</f>
        <v>12.058</v>
      </c>
      <c r="E168" s="296">
        <f>Data!D$61</f>
        <v>14.158</v>
      </c>
      <c r="F168" s="293">
        <f>Data!E$61</f>
        <v>14.479</v>
      </c>
      <c r="G168" s="293">
        <f>Data!F$61</f>
        <v>14.889</v>
      </c>
      <c r="H168" s="293">
        <f>Data!G$61</f>
        <v>14.941</v>
      </c>
      <c r="I168" s="293">
        <f>Data!H$61</f>
        <v>14.908</v>
      </c>
      <c r="J168" s="293">
        <f>Data!I$61</f>
        <v>15.135</v>
      </c>
      <c r="K168" s="106">
        <f aca="true" t="shared" si="96" ref="K168:S168">J$168*(1+K$215)</f>
        <v>15.471105697671454</v>
      </c>
      <c r="L168" s="106">
        <f t="shared" si="96"/>
        <v>15.783733144304831</v>
      </c>
      <c r="M168" s="106">
        <f t="shared" si="96"/>
        <v>16.09940780719093</v>
      </c>
      <c r="N168" s="106">
        <f t="shared" si="96"/>
        <v>16.421395963334746</v>
      </c>
      <c r="O168" s="106">
        <f t="shared" si="96"/>
        <v>16.74982388260144</v>
      </c>
      <c r="P168" s="106">
        <f t="shared" si="96"/>
        <v>17.08482036025347</v>
      </c>
      <c r="Q168" s="106">
        <f t="shared" si="96"/>
        <v>17.42651676745854</v>
      </c>
      <c r="R168" s="106">
        <f t="shared" si="96"/>
        <v>17.77504710280771</v>
      </c>
      <c r="S168" s="106">
        <f t="shared" si="96"/>
        <v>18.130548044863865</v>
      </c>
      <c r="T168" s="106">
        <f>S$168*(1+T$215)</f>
        <v>18.493159005761143</v>
      </c>
      <c r="U168" s="106"/>
    </row>
    <row r="169" spans="2:21" ht="12.75">
      <c r="B169" s="63"/>
      <c r="C169" s="99"/>
      <c r="D169" s="105"/>
      <c r="E169" s="105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</row>
    <row r="170" spans="1:21" ht="12.75">
      <c r="A170" s="150" t="s">
        <v>151</v>
      </c>
      <c r="B170" s="63"/>
      <c r="C170" s="99"/>
      <c r="D170" s="99"/>
      <c r="E170" s="99"/>
      <c r="F170" s="58"/>
      <c r="G170" s="58"/>
      <c r="H170" s="58"/>
      <c r="I170" s="58"/>
      <c r="J170" s="58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 s="46" t="s">
        <v>644</v>
      </c>
      <c r="B171" s="58"/>
      <c r="C171" s="99"/>
      <c r="D171" s="101">
        <f ca="1">Data!C$119+IF(OFFSET(Scenarios!$A$65,0,$C$1)="Yes",D$176,0)</f>
        <v>26.213</v>
      </c>
      <c r="E171" s="101">
        <f ca="1">Data!D$119+IF(OFFSET(Scenarios!$A$65,0,$C$1)="Yes",E$176,0)</f>
        <v>28.637</v>
      </c>
      <c r="F171" s="293">
        <f ca="1">Data!E$119+IF(OFFSET(Scenarios!$A$65,0,$C$1)="Yes",F$176+IF($I$1="Yes",F$274,0),0)</f>
        <v>29.236</v>
      </c>
      <c r="G171" s="293">
        <f ca="1">Data!F$119+IF(OFFSET(Scenarios!$A$65,0,$C$1)="Yes",G$176+IF($I$1="Yes",G$274,0),0)</f>
        <v>29.542</v>
      </c>
      <c r="H171" s="293">
        <f ca="1">Data!G$119+IF(OFFSET(Scenarios!$A$65,0,$C$1)="Yes",H$176+IF($I$1="Yes",H$274,0),0)</f>
        <v>29.497</v>
      </c>
      <c r="I171" s="293">
        <f ca="1">Data!H$119+IF(OFFSET(Scenarios!$A$65,0,$C$1)="Yes",I$176+IF($I$1="Yes",I$274,0),0)</f>
        <v>29.256</v>
      </c>
      <c r="J171" s="293">
        <f ca="1">Data!I$119+IF(OFFSET(Scenarios!$A$65,0,$C$1)="Yes",J$176+IF($I$1="Yes",J$274,0),0)</f>
        <v>29.085</v>
      </c>
      <c r="K171" s="106">
        <f ca="1">J$171+IF(OFFSET(Scenarios!$A$65,0,$C$1)="Yes",(K$176-J$176),0)</f>
        <v>29.085</v>
      </c>
      <c r="L171" s="106">
        <f ca="1">K$171+IF(OFFSET(Scenarios!$A$65,0,$C$1)="Yes",(L$176-K$176),0)</f>
        <v>29.085</v>
      </c>
      <c r="M171" s="106">
        <f ca="1">L$171+IF(OFFSET(Scenarios!$A$65,0,$C$1)="Yes",(M$176-L$176),0)</f>
        <v>29.085</v>
      </c>
      <c r="N171" s="106">
        <f ca="1">M$171+IF(OFFSET(Scenarios!$A$65,0,$C$1)="Yes",(N$176-M$176),0)</f>
        <v>29.085</v>
      </c>
      <c r="O171" s="106">
        <f ca="1">N$171+IF(OFFSET(Scenarios!$A$65,0,$C$1)="Yes",(O$176-N$176),0)</f>
        <v>29.085</v>
      </c>
      <c r="P171" s="106">
        <f ca="1">O$171+IF(OFFSET(Scenarios!$A$65,0,$C$1)="Yes",(P$176-O$176),0)</f>
        <v>29.085</v>
      </c>
      <c r="Q171" s="106">
        <f ca="1">P$171+IF(OFFSET(Scenarios!$A$65,0,$C$1)="Yes",(Q$176-P$176),0)</f>
        <v>29.085</v>
      </c>
      <c r="R171" s="106">
        <f ca="1">Q$171+IF(OFFSET(Scenarios!$A$65,0,$C$1)="Yes",(R$176-Q$176),0)</f>
        <v>29.085</v>
      </c>
      <c r="S171" s="106">
        <f ca="1">R$171+IF(OFFSET(Scenarios!$A$65,0,$C$1)="Yes",(S$176-R$176),0)</f>
        <v>29.085</v>
      </c>
      <c r="T171" s="106">
        <f ca="1">S$171+IF(OFFSET(Scenarios!$A$65,0,$C$1)="Yes",(T$176-S$176),0)</f>
        <v>29.085</v>
      </c>
      <c r="U171" s="106"/>
    </row>
    <row r="172" spans="1:21" s="330" customFormat="1" ht="12.75">
      <c r="A172" s="389" t="s">
        <v>150</v>
      </c>
      <c r="B172" s="63"/>
      <c r="C172" s="103"/>
      <c r="D172" s="103">
        <f>SUM(Data!C$120,Data!C$121)</f>
        <v>69.385</v>
      </c>
      <c r="E172" s="103">
        <f>SUM(Data!D$120,Data!D$121)</f>
        <v>74.69200000000001</v>
      </c>
      <c r="F172" s="224">
        <f>SUM(Data!E$120,Data!E$121)</f>
        <v>78.65899999999999</v>
      </c>
      <c r="G172" s="224">
        <f>SUM(Data!F$120,Data!F$121)</f>
        <v>80.856</v>
      </c>
      <c r="H172" s="224">
        <f>SUM(Data!G$120,Data!G$121)</f>
        <v>83.28200000000001</v>
      </c>
      <c r="I172" s="224">
        <f>SUM(Data!H$120,Data!H$121)</f>
        <v>85.245</v>
      </c>
      <c r="J172" s="224">
        <f>SUM(Data!I$120,Data!I$121)</f>
        <v>87.858</v>
      </c>
      <c r="K172" s="111">
        <f aca="true" t="shared" si="97" ref="K172:T172">J$172+(K$27-K$34-J$27+J$34)+(K$28-K$35-J$28+J$35)+(K$16-K$23)-SUM(K$145,K$146,-K$147,K$166-K$163,K$168-K$167,K$183-K$182)+SUM(J$145,J$146,-J$147,J$166-J$163,J$168-J$167,J$183-J$182)</f>
        <v>89.8793680213671</v>
      </c>
      <c r="L172" s="111">
        <f t="shared" si="97"/>
        <v>92.51298604896516</v>
      </c>
      <c r="M172" s="111">
        <f t="shared" si="97"/>
        <v>95.44549678141712</v>
      </c>
      <c r="N172" s="111">
        <f t="shared" si="97"/>
        <v>98.71328103524773</v>
      </c>
      <c r="O172" s="111">
        <f t="shared" si="97"/>
        <v>102.21159169372271</v>
      </c>
      <c r="P172" s="111">
        <f t="shared" si="97"/>
        <v>105.94812729866811</v>
      </c>
      <c r="Q172" s="111">
        <f t="shared" si="97"/>
        <v>109.93536666784435</v>
      </c>
      <c r="R172" s="111">
        <f t="shared" si="97"/>
        <v>114.18123209231257</v>
      </c>
      <c r="S172" s="111">
        <f t="shared" si="97"/>
        <v>118.70849137420059</v>
      </c>
      <c r="T172" s="111">
        <f t="shared" si="97"/>
        <v>123.48714097075131</v>
      </c>
      <c r="U172" s="111"/>
    </row>
    <row r="173" spans="1:21" s="330" customFormat="1" ht="12.75">
      <c r="A173" s="382" t="s">
        <v>645</v>
      </c>
      <c r="B173" s="63"/>
      <c r="C173" s="103"/>
      <c r="D173" s="397">
        <f>SUM(D$171,D$172)</f>
        <v>95.59800000000001</v>
      </c>
      <c r="E173" s="397">
        <f>SUM(E$171,E$172)</f>
        <v>103.32900000000001</v>
      </c>
      <c r="F173" s="390">
        <f aca="true" t="shared" si="98" ref="F173:T173">SUM(F$171,F$172)</f>
        <v>107.895</v>
      </c>
      <c r="G173" s="390">
        <f t="shared" si="98"/>
        <v>110.398</v>
      </c>
      <c r="H173" s="390">
        <f t="shared" si="98"/>
        <v>112.77900000000001</v>
      </c>
      <c r="I173" s="390">
        <f t="shared" si="98"/>
        <v>114.501</v>
      </c>
      <c r="J173" s="390">
        <f t="shared" si="98"/>
        <v>116.94300000000001</v>
      </c>
      <c r="K173" s="398">
        <f t="shared" si="98"/>
        <v>118.96436802136711</v>
      </c>
      <c r="L173" s="398">
        <f t="shared" si="98"/>
        <v>121.59798604896517</v>
      </c>
      <c r="M173" s="398">
        <f t="shared" si="98"/>
        <v>124.53049678141713</v>
      </c>
      <c r="N173" s="398">
        <f t="shared" si="98"/>
        <v>127.79828103524773</v>
      </c>
      <c r="O173" s="398">
        <f t="shared" si="98"/>
        <v>131.29659169372272</v>
      </c>
      <c r="P173" s="398">
        <f t="shared" si="98"/>
        <v>135.03312729866812</v>
      </c>
      <c r="Q173" s="398">
        <f t="shared" si="98"/>
        <v>139.02036666784434</v>
      </c>
      <c r="R173" s="398">
        <f t="shared" si="98"/>
        <v>143.26623209231258</v>
      </c>
      <c r="S173" s="398">
        <f t="shared" si="98"/>
        <v>147.79349137420058</v>
      </c>
      <c r="T173" s="398">
        <f t="shared" si="98"/>
        <v>152.57214097075132</v>
      </c>
      <c r="U173" s="398"/>
    </row>
    <row r="174" spans="1:21" ht="12.75">
      <c r="A174" s="46"/>
      <c r="B174" s="63"/>
      <c r="C174" s="99"/>
      <c r="D174" s="101"/>
      <c r="E174" s="101"/>
      <c r="F174" s="296"/>
      <c r="G174" s="296"/>
      <c r="H174" s="296"/>
      <c r="I174" s="296"/>
      <c r="J174" s="296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</row>
    <row r="175" spans="1:21" ht="12.75">
      <c r="A175" s="150" t="s">
        <v>152</v>
      </c>
      <c r="B175" s="108"/>
      <c r="C175" s="99"/>
      <c r="D175" s="101">
        <f ca="1">IF(OFFSET(Scenarios!$A$65,0,$C$1)="Yes",0,D$176-C$176)</f>
        <v>0</v>
      </c>
      <c r="E175" s="101">
        <f ca="1">IF(OFFSET(Scenarios!$A$65,0,$C$1)="Yes",0,E$176-D$176)</f>
        <v>0</v>
      </c>
      <c r="F175" s="293">
        <f ca="1">IF(OFFSET(Scenarios!$A$65,0,$C$1)="Yes",0,F$176-E$176)</f>
        <v>0.184</v>
      </c>
      <c r="G175" s="293">
        <f ca="1">IF(OFFSET(Scenarios!$A$65,0,$C$1)="Yes",0,G$176-F$176)</f>
        <v>0.601</v>
      </c>
      <c r="H175" s="293">
        <f ca="1">IF(OFFSET(Scenarios!$A$65,0,$C$1)="Yes",0,H$176-G$176)</f>
        <v>0.777</v>
      </c>
      <c r="I175" s="293">
        <f ca="1">IF(OFFSET(Scenarios!$A$65,0,$C$1)="Yes",0,I$176-H$176)</f>
        <v>0.9000000000000001</v>
      </c>
      <c r="J175" s="293">
        <f ca="1">IF(OFFSET(Scenarios!$A$65,0,$C$1)="Yes",0,J$176-I$176)</f>
        <v>0.863</v>
      </c>
      <c r="K175" s="106">
        <f ca="1">IF(OFFSET(Scenarios!$A$65,0,$C$1)="Yes",0,IF(K$1="Proj Yr1",OFFSET(Scenarios!$A$32,0,$C$1),J$175*(1+IF(OFFSET(Scenarios!$A$36,0,$C$1)="GDP",K$212,IF(OFFSET(Scenarios!$A$36,0,$C$1)="CPI",K$215,0)))))</f>
        <v>0.9</v>
      </c>
      <c r="L175" s="106">
        <f ca="1">IF(OFFSET(Scenarios!$A$65,0,$C$1)="Yes",0,IF(L$1="Proj Yr1",OFFSET(Scenarios!$A$32,0,$C$1),K$175*(1+IF(OFFSET(Scenarios!$A$36,0,$C$1)="GDP",L$212,IF(OFFSET(Scenarios!$A$36,0,$C$1)="CPI",L$215,0)))))</f>
        <v>0.9181864636871033</v>
      </c>
      <c r="M175" s="106">
        <f ca="1">IF(OFFSET(Scenarios!$A$65,0,$C$1)="Yes",0,IF(M$1="Proj Yr1",OFFSET(Scenarios!$A$32,0,$C$1),L$175*(1+IF(OFFSET(Scenarios!$A$36,0,$C$1)="GDP",M$212,IF(OFFSET(Scenarios!$A$36,0,$C$1)="CPI",M$215,0)))))</f>
        <v>0.9365501929608454</v>
      </c>
      <c r="N175" s="106">
        <f ca="1">IF(OFFSET(Scenarios!$A$65,0,$C$1)="Yes",0,IF(N$1="Proj Yr1",OFFSET(Scenarios!$A$32,0,$C$1),M$175*(1+IF(OFFSET(Scenarios!$A$36,0,$C$1)="GDP",N$212,IF(OFFSET(Scenarios!$A$36,0,$C$1)="CPI",N$215,0)))))</f>
        <v>0.9552811968200623</v>
      </c>
      <c r="O175" s="106">
        <f ca="1">IF(OFFSET(Scenarios!$A$65,0,$C$1)="Yes",0,IF(O$1="Proj Yr1",OFFSET(Scenarios!$A$32,0,$C$1),N$175*(1+IF(OFFSET(Scenarios!$A$36,0,$C$1)="GDP",O$212,IF(OFFSET(Scenarios!$A$36,0,$C$1)="CPI",O$215,0)))))</f>
        <v>0.9743868207564635</v>
      </c>
      <c r="P175" s="106">
        <f ca="1">IF(OFFSET(Scenarios!$A$65,0,$C$1)="Yes",0,IF(P$1="Proj Yr1",OFFSET(Scenarios!$A$32,0,$C$1),O$175*(1+IF(OFFSET(Scenarios!$A$36,0,$C$1)="GDP",P$212,IF(OFFSET(Scenarios!$A$36,0,$C$1)="CPI",P$215,0)))))</f>
        <v>0.9938745571715928</v>
      </c>
      <c r="Q175" s="106">
        <f ca="1">IF(OFFSET(Scenarios!$A$65,0,$C$1)="Yes",0,IF(Q$1="Proj Yr1",OFFSET(Scenarios!$A$32,0,$C$1),P$175*(1+IF(OFFSET(Scenarios!$A$36,0,$C$1)="GDP",Q$212,IF(OFFSET(Scenarios!$A$36,0,$C$1)="CPI",Q$215,0)))))</f>
        <v>1.0137520483150246</v>
      </c>
      <c r="R175" s="106">
        <f ca="1">IF(OFFSET(Scenarios!$A$65,0,$C$1)="Yes",0,IF(R$1="Proj Yr1",OFFSET(Scenarios!$A$32,0,$C$1),Q$175*(1+IF(OFFSET(Scenarios!$A$36,0,$C$1)="GDP",R$212,IF(OFFSET(Scenarios!$A$36,0,$C$1)="CPI",R$215,0)))))</f>
        <v>1.0340270892813253</v>
      </c>
      <c r="S175" s="106">
        <f ca="1">IF(OFFSET(Scenarios!$A$65,0,$C$1)="Yes",0,IF(S$1="Proj Yr1",OFFSET(Scenarios!$A$32,0,$C$1),R$175*(1+IF(OFFSET(Scenarios!$A$36,0,$C$1)="GDP",S$212,IF(OFFSET(Scenarios!$A$36,0,$C$1)="CPI",S$215,0)))))</f>
        <v>1.0547076310669519</v>
      </c>
      <c r="T175" s="106">
        <f ca="1">IF(OFFSET(Scenarios!$A$65,0,$C$1)="Yes",0,IF(T$1="Proj Yr1",OFFSET(Scenarios!$A$32,0,$C$1),S$175*(1+IF(OFFSET(Scenarios!$A$36,0,$C$1)="GDP",T$212,IF(OFFSET(Scenarios!$A$36,0,$C$1)="CPI",T$215,0)))))</f>
        <v>1.075801783688291</v>
      </c>
      <c r="U175" s="106"/>
    </row>
    <row r="176" spans="1:21" ht="12.75">
      <c r="A176" s="50" t="s">
        <v>786</v>
      </c>
      <c r="B176" s="108"/>
      <c r="C176" s="99"/>
      <c r="D176" s="99">
        <f>Data!C$71+IF($I$1="Yes",D$274,0)</f>
        <v>0</v>
      </c>
      <c r="E176" s="99">
        <f>Data!D$71+IF($I$1="Yes",E$274,0)</f>
        <v>0</v>
      </c>
      <c r="F176" s="289">
        <f>Data!E$71+IF($I$1="Yes",F$274,0)</f>
        <v>0.184</v>
      </c>
      <c r="G176" s="289">
        <f>Data!F$71+IF($I$1="Yes",G$274,0)</f>
        <v>0.785</v>
      </c>
      <c r="H176" s="289">
        <f>Data!G$71+IF($I$1="Yes",H$274,0)</f>
        <v>1.562</v>
      </c>
      <c r="I176" s="289">
        <f>Data!H$71+IF($I$1="Yes",I$274,0)</f>
        <v>2.462</v>
      </c>
      <c r="J176" s="289">
        <f>Data!I$71+IF($I$1="Yes",J$274,0)</f>
        <v>3.325</v>
      </c>
      <c r="K176" s="140">
        <f ca="1">J$176+IF(K$1="Proj Yr1",OFFSET(Scenarios!$A$32,0,$C$1),(J$176-I$176)*(1+IF(OFFSET(Scenarios!$A$36,0,$C$1)="GDP",K$212,IF(OFFSET(Scenarios!$A$36,0,$C$1)="CPI",K$215,0))))</f>
        <v>4.2250000000000005</v>
      </c>
      <c r="L176" s="140">
        <f ca="1">K$176+IF(L$1="Proj Yr1",OFFSET(Scenarios!$A$32,0,$C$1),(K$176-J$176)*(1+IF(OFFSET(Scenarios!$A$36,0,$C$1)="GDP",L$212,IF(OFFSET(Scenarios!$A$36,0,$C$1)="CPI",L$215,0))))</f>
        <v>5.143186463687104</v>
      </c>
      <c r="M176" s="140">
        <f ca="1">L$176+IF(M$1="Proj Yr1",OFFSET(Scenarios!$A$32,0,$C$1),(L$176-K$176)*(1+IF(OFFSET(Scenarios!$A$36,0,$C$1)="GDP",M$212,IF(OFFSET(Scenarios!$A$36,0,$C$1)="CPI",M$215,0))))</f>
        <v>6.079736656647949</v>
      </c>
      <c r="N176" s="140">
        <f ca="1">M$176+IF(N$1="Proj Yr1",OFFSET(Scenarios!$A$32,0,$C$1),(M$176-L$176)*(1+IF(OFFSET(Scenarios!$A$36,0,$C$1)="GDP",N$212,IF(OFFSET(Scenarios!$A$36,0,$C$1)="CPI",N$215,0))))</f>
        <v>7.035017853468011</v>
      </c>
      <c r="O176" s="140">
        <f ca="1">N$176+IF(O$1="Proj Yr1",OFFSET(Scenarios!$A$32,0,$C$1),(N$176-M$176)*(1+IF(OFFSET(Scenarios!$A$36,0,$C$1)="GDP",O$212,IF(OFFSET(Scenarios!$A$36,0,$C$1)="CPI",O$215,0))))</f>
        <v>8.009404674224474</v>
      </c>
      <c r="P176" s="140">
        <f ca="1">O$176+IF(P$1="Proj Yr1",OFFSET(Scenarios!$A$32,0,$C$1),(O$176-N$176)*(1+IF(OFFSET(Scenarios!$A$36,0,$C$1)="GDP",P$212,IF(OFFSET(Scenarios!$A$36,0,$C$1)="CPI",P$215,0))))</f>
        <v>9.003279231396066</v>
      </c>
      <c r="Q176" s="140">
        <f ca="1">P$176+IF(Q$1="Proj Yr1",OFFSET(Scenarios!$A$32,0,$C$1),(P$176-O$176)*(1+IF(OFFSET(Scenarios!$A$36,0,$C$1)="GDP",Q$212,IF(OFFSET(Scenarios!$A$36,0,$C$1)="CPI",Q$215,0))))</f>
        <v>10.017031279711091</v>
      </c>
      <c r="R176" s="140">
        <f ca="1">Q$176+IF(R$1="Proj Yr1",OFFSET(Scenarios!$A$32,0,$C$1),(Q$176-P$176)*(1+IF(OFFSET(Scenarios!$A$36,0,$C$1)="GDP",R$212,IF(OFFSET(Scenarios!$A$36,0,$C$1)="CPI",R$215,0))))</f>
        <v>11.051058368992416</v>
      </c>
      <c r="S176" s="140">
        <f ca="1">R$176+IF(S$1="Proj Yr1",OFFSET(Scenarios!$A$32,0,$C$1),(R$176-Q$176)*(1+IF(OFFSET(Scenarios!$A$36,0,$C$1)="GDP",S$212,IF(OFFSET(Scenarios!$A$36,0,$C$1)="CPI",S$215,0))))</f>
        <v>12.105766000059369</v>
      </c>
      <c r="T176" s="140">
        <f ca="1">S$176+IF(T$1="Proj Yr1",OFFSET(Scenarios!$A$32,0,$C$1),(S$176-R$176)*(1+IF(OFFSET(Scenarios!$A$36,0,$C$1)="GDP",T$212,IF(OFFSET(Scenarios!$A$36,0,$C$1)="CPI",T$215,0))))</f>
        <v>13.18156778374766</v>
      </c>
      <c r="U176" s="140"/>
    </row>
    <row r="177" spans="1:21" ht="12.75">
      <c r="A177" s="46"/>
      <c r="B177" s="108"/>
      <c r="C177" s="99"/>
      <c r="D177" s="141"/>
      <c r="E177" s="141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</row>
    <row r="178" spans="1:21" ht="12.75">
      <c r="A178" s="150" t="s">
        <v>153</v>
      </c>
      <c r="B178" s="108"/>
      <c r="C178" s="99"/>
      <c r="D178" s="99"/>
      <c r="E178" s="99"/>
      <c r="F178" s="121"/>
      <c r="G178" s="121"/>
      <c r="H178" s="121"/>
      <c r="I178" s="121"/>
      <c r="J178" s="121"/>
      <c r="K178"/>
      <c r="L178"/>
      <c r="M178"/>
      <c r="N178"/>
      <c r="O178"/>
      <c r="P178"/>
      <c r="Q178"/>
      <c r="R178"/>
      <c r="S178"/>
      <c r="T178"/>
      <c r="U178"/>
    </row>
    <row r="179" spans="1:21" s="304" customFormat="1" ht="12.75">
      <c r="A179" s="344" t="s">
        <v>882</v>
      </c>
      <c r="C179" s="247"/>
      <c r="D179" s="247">
        <f>Data!C$122</f>
        <v>25.049</v>
      </c>
      <c r="E179" s="247">
        <f>Data!D$122</f>
        <v>25.696</v>
      </c>
      <c r="F179" s="392">
        <f>Data!E$122</f>
        <v>27.807</v>
      </c>
      <c r="G179" s="392">
        <f>Data!F$122</f>
        <v>28.201</v>
      </c>
      <c r="H179" s="392">
        <f>Data!G$122</f>
        <v>28.595</v>
      </c>
      <c r="I179" s="392">
        <f>Data!H$122</f>
        <v>28.85</v>
      </c>
      <c r="J179" s="392">
        <f>Data!I$122</f>
        <v>28.914</v>
      </c>
      <c r="K179" s="303">
        <f aca="true" t="shared" si="99" ref="K179:T179">J$179*IF(K$1="Proj Yr1",AVERAGE(H$179/G$179,I$179/H$179,J$179/I$179),J$179/I$179)</f>
        <v>29.155982707881236</v>
      </c>
      <c r="L179" s="303">
        <f t="shared" si="99"/>
        <v>29.399990581111904</v>
      </c>
      <c r="M179" s="303">
        <f t="shared" si="99"/>
        <v>29.646040568401805</v>
      </c>
      <c r="N179" s="303">
        <f t="shared" si="99"/>
        <v>29.89414976030534</v>
      </c>
      <c r="O179" s="303">
        <f t="shared" si="99"/>
        <v>30.144335390408607</v>
      </c>
      <c r="P179" s="303">
        <f t="shared" si="99"/>
        <v>30.396614836526446</v>
      </c>
      <c r="Q179" s="303">
        <f t="shared" si="99"/>
        <v>30.651005621909498</v>
      </c>
      <c r="R179" s="303">
        <f t="shared" si="99"/>
        <v>30.90752541646136</v>
      </c>
      <c r="S179" s="303">
        <f t="shared" si="99"/>
        <v>31.16619203796594</v>
      </c>
      <c r="T179" s="303">
        <f t="shared" si="99"/>
        <v>31.427023453325056</v>
      </c>
      <c r="U179" s="303"/>
    </row>
    <row r="180" spans="1:21" s="304" customFormat="1" ht="13.5" customHeight="1">
      <c r="A180" s="344" t="s">
        <v>646</v>
      </c>
      <c r="C180" s="247"/>
      <c r="D180" s="247">
        <f>SUM(Data!C$72,Data!C$123,Data!C$125)</f>
        <v>1.866</v>
      </c>
      <c r="E180" s="247">
        <f>SUM(Data!D$72,Data!D$123,Data!D$125)</f>
        <v>2.2199999999999998</v>
      </c>
      <c r="F180" s="224">
        <f>SUM(Data!E$72,Data!E$123,Data!E$125)</f>
        <v>1.726</v>
      </c>
      <c r="G180" s="224">
        <f>SUM(Data!F$72,Data!F$123,Data!F$125)</f>
        <v>1.8330000000000002</v>
      </c>
      <c r="H180" s="224">
        <f>SUM(Data!G$72,Data!G$123,Data!G$125)</f>
        <v>1.924</v>
      </c>
      <c r="I180" s="224">
        <f>SUM(Data!H$72,Data!H$123,Data!H$125)</f>
        <v>1.956</v>
      </c>
      <c r="J180" s="224">
        <f>SUM(Data!I$72,Data!I$123,Data!I$125)</f>
        <v>2.527</v>
      </c>
      <c r="K180" s="303">
        <f aca="true" t="shared" si="100" ref="K180:S180">J$180*(1+K$215)</f>
        <v>2.5831175485970115</v>
      </c>
      <c r="L180" s="303">
        <f t="shared" si="100"/>
        <v>2.635315074704877</v>
      </c>
      <c r="M180" s="303">
        <f t="shared" si="100"/>
        <v>2.688021376198974</v>
      </c>
      <c r="N180" s="303">
        <f t="shared" si="100"/>
        <v>2.7417818037229535</v>
      </c>
      <c r="O180" s="303">
        <f t="shared" si="100"/>
        <v>2.7966174397974126</v>
      </c>
      <c r="P180" s="303">
        <f t="shared" si="100"/>
        <v>2.852549788593361</v>
      </c>
      <c r="Q180" s="303">
        <f t="shared" si="100"/>
        <v>2.9096007843652285</v>
      </c>
      <c r="R180" s="303">
        <f t="shared" si="100"/>
        <v>2.9677928000525333</v>
      </c>
      <c r="S180" s="303">
        <f t="shared" si="100"/>
        <v>3.027148656053584</v>
      </c>
      <c r="T180" s="303">
        <f>S$180*(1+T$215)</f>
        <v>3.0876916291746554</v>
      </c>
      <c r="U180" s="303"/>
    </row>
    <row r="181" spans="1:21" s="304" customFormat="1" ht="12.75">
      <c r="A181" s="344" t="s">
        <v>27</v>
      </c>
      <c r="C181" s="247"/>
      <c r="D181" s="247">
        <f>Data!C124</f>
        <v>0</v>
      </c>
      <c r="E181" s="247">
        <f>Data!D124</f>
        <v>0</v>
      </c>
      <c r="F181" s="224">
        <f>Data!E124</f>
        <v>0</v>
      </c>
      <c r="G181" s="224">
        <f>Data!F124</f>
        <v>0</v>
      </c>
      <c r="H181" s="224">
        <f>Data!G124</f>
        <v>0</v>
      </c>
      <c r="I181" s="224">
        <f>Data!H124</f>
        <v>0</v>
      </c>
      <c r="J181" s="224">
        <f>Data!I124</f>
        <v>0</v>
      </c>
      <c r="K181" s="303">
        <f>Tracks!H$121</f>
        <v>0</v>
      </c>
      <c r="L181" s="303">
        <f>Tracks!I$121</f>
        <v>0</v>
      </c>
      <c r="M181" s="303">
        <f>Tracks!J$121</f>
        <v>0</v>
      </c>
      <c r="N181" s="303">
        <f>Tracks!K$121</f>
        <v>0</v>
      </c>
      <c r="O181" s="303">
        <f>Tracks!L$121</f>
        <v>0</v>
      </c>
      <c r="P181" s="303">
        <f>Tracks!M$121</f>
        <v>0</v>
      </c>
      <c r="Q181" s="303">
        <f>Tracks!N$121</f>
        <v>0</v>
      </c>
      <c r="R181" s="303">
        <f>Tracks!O$121</f>
        <v>0</v>
      </c>
      <c r="S181" s="303">
        <f>Tracks!P$121</f>
        <v>0</v>
      </c>
      <c r="T181" s="303">
        <f>Tracks!Q$121</f>
        <v>0</v>
      </c>
      <c r="U181" s="303"/>
    </row>
    <row r="182" spans="1:21" s="304" customFormat="1" ht="12.75">
      <c r="A182" s="382" t="s">
        <v>154</v>
      </c>
      <c r="C182" s="247"/>
      <c r="D182" s="141">
        <f aca="true" t="shared" si="101" ref="D182:I182">SUM(D$179,D$180,D181)</f>
        <v>26.915</v>
      </c>
      <c r="E182" s="141">
        <f>SUM(E$179,E$180,E181)</f>
        <v>27.916</v>
      </c>
      <c r="F182" s="390">
        <f t="shared" si="101"/>
        <v>29.532999999999998</v>
      </c>
      <c r="G182" s="390">
        <f t="shared" si="101"/>
        <v>30.034</v>
      </c>
      <c r="H182" s="390">
        <f t="shared" si="101"/>
        <v>30.519</v>
      </c>
      <c r="I182" s="390">
        <f t="shared" si="101"/>
        <v>30.806</v>
      </c>
      <c r="J182" s="390">
        <f>SUM(J$179,J$180,J181)</f>
        <v>31.441000000000003</v>
      </c>
      <c r="K182" s="148">
        <f aca="true" t="shared" si="102" ref="K182:T182">SUM(K$179,K$180,K181)</f>
        <v>31.73910025647825</v>
      </c>
      <c r="L182" s="148">
        <f t="shared" si="102"/>
        <v>32.03530565581678</v>
      </c>
      <c r="M182" s="148">
        <f>SUM(M$179,M$180,M181)</f>
        <v>32.334061944600776</v>
      </c>
      <c r="N182" s="148">
        <f t="shared" si="102"/>
        <v>32.63593156402829</v>
      </c>
      <c r="O182" s="148">
        <f t="shared" si="102"/>
        <v>32.94095283020602</v>
      </c>
      <c r="P182" s="148">
        <f t="shared" si="102"/>
        <v>33.2491646251198</v>
      </c>
      <c r="Q182" s="148">
        <f t="shared" si="102"/>
        <v>33.56060640627473</v>
      </c>
      <c r="R182" s="148">
        <f t="shared" si="102"/>
        <v>33.8753182165139</v>
      </c>
      <c r="S182" s="148">
        <f t="shared" si="102"/>
        <v>34.193340694019525</v>
      </c>
      <c r="T182" s="148">
        <f t="shared" si="102"/>
        <v>34.51471508249971</v>
      </c>
      <c r="U182" s="148"/>
    </row>
    <row r="183" spans="1:21" ht="12.75">
      <c r="A183" s="46" t="s">
        <v>155</v>
      </c>
      <c r="B183" s="108"/>
      <c r="C183" s="99"/>
      <c r="D183" s="101">
        <f>SUM(Data!C$66,Data!C$67,Data!C$69,Data!C$70,Data!C$72)</f>
        <v>11.030999999999999</v>
      </c>
      <c r="E183" s="101">
        <f>SUM(Data!D$66,Data!D$67,Data!D$69,Data!D$70,Data!D$72)</f>
        <v>12.443</v>
      </c>
      <c r="F183" s="293">
        <f>SUM(Data!E$66,Data!E$67,Data!E$69,Data!E$70,Data!E$72)</f>
        <v>13.094000000000001</v>
      </c>
      <c r="G183" s="293">
        <f>SUM(Data!F$66,Data!F$67,Data!F$69,Data!F$70,Data!F$72)</f>
        <v>13.687000000000001</v>
      </c>
      <c r="H183" s="293">
        <f>SUM(Data!G$66,Data!G$67,Data!G$69,Data!G$70,Data!G$72)</f>
        <v>14.396999999999998</v>
      </c>
      <c r="I183" s="293">
        <f>SUM(Data!H$66,Data!H$67,Data!H$69,Data!H$70,Data!H$72)</f>
        <v>14.808000000000002</v>
      </c>
      <c r="J183" s="293">
        <f>SUM(Data!I$66,Data!I$67,Data!I$69,Data!I$70,Data!I$72)</f>
        <v>15.728000000000002</v>
      </c>
      <c r="K183" s="106">
        <f aca="true" t="shared" si="103" ref="K183:S183">J$183*(1+K$215)</f>
        <v>16.07727455652307</v>
      </c>
      <c r="L183" s="106">
        <f t="shared" si="103"/>
        <v>16.402150967533956</v>
      </c>
      <c r="M183" s="106">
        <f t="shared" si="103"/>
        <v>16.730193986884636</v>
      </c>
      <c r="N183" s="106">
        <f t="shared" si="103"/>
        <v>17.064797866622328</v>
      </c>
      <c r="O183" s="106">
        <f t="shared" si="103"/>
        <v>17.406093823954777</v>
      </c>
      <c r="P183" s="106">
        <f t="shared" si="103"/>
        <v>17.75421570043387</v>
      </c>
      <c r="Q183" s="106">
        <f t="shared" si="103"/>
        <v>18.10930001444255</v>
      </c>
      <c r="R183" s="106">
        <f t="shared" si="103"/>
        <v>18.4714860147314</v>
      </c>
      <c r="S183" s="106">
        <f t="shared" si="103"/>
        <v>18.84091573502603</v>
      </c>
      <c r="T183" s="106">
        <f>S$183*(1+T$215)</f>
        <v>19.217734049726552</v>
      </c>
      <c r="U183" s="106"/>
    </row>
    <row r="184" spans="1:21" ht="12.75">
      <c r="A184" s="229"/>
      <c r="B184" s="108"/>
      <c r="C184" s="99"/>
      <c r="D184" s="141"/>
      <c r="E184" s="141"/>
      <c r="F184" s="147"/>
      <c r="G184" s="147"/>
      <c r="H184" s="147"/>
      <c r="I184" s="147"/>
      <c r="J184" s="147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</row>
    <row r="185" spans="1:21" ht="12.75">
      <c r="A185" s="150" t="s">
        <v>156</v>
      </c>
      <c r="B185" s="108"/>
      <c r="C185" s="99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</row>
    <row r="186" spans="1:21" ht="12.75">
      <c r="A186" s="229" t="s">
        <v>895</v>
      </c>
      <c r="B186" s="108"/>
      <c r="C186" s="99"/>
      <c r="D186" s="99">
        <f>Data!C$74</f>
        <v>3.444</v>
      </c>
      <c r="E186" s="99">
        <f>Data!D$74</f>
        <v>3.53</v>
      </c>
      <c r="F186" s="289">
        <f>Data!E$74</f>
        <v>3.702</v>
      </c>
      <c r="G186" s="289">
        <f>Data!F$74</f>
        <v>3.883</v>
      </c>
      <c r="H186" s="289">
        <f>Data!G$74</f>
        <v>4.073</v>
      </c>
      <c r="I186" s="289">
        <f>Data!H$74</f>
        <v>4.273</v>
      </c>
      <c r="J186" s="289">
        <f>Data!I$74</f>
        <v>4.482</v>
      </c>
      <c r="K186" s="140">
        <f aca="true" t="shared" si="104" ref="K186:S186">J$186*(1+K$215)</f>
        <v>4.581532589161775</v>
      </c>
      <c r="L186" s="140">
        <f t="shared" si="104"/>
        <v>4.674112451455187</v>
      </c>
      <c r="M186" s="140">
        <f t="shared" si="104"/>
        <v>4.767594700484291</v>
      </c>
      <c r="N186" s="140">
        <f t="shared" si="104"/>
        <v>4.862946594493977</v>
      </c>
      <c r="O186" s="140">
        <f t="shared" si="104"/>
        <v>4.960205526383857</v>
      </c>
      <c r="P186" s="140">
        <f t="shared" si="104"/>
        <v>5.059409636911534</v>
      </c>
      <c r="Q186" s="140">
        <f t="shared" si="104"/>
        <v>5.160597829649765</v>
      </c>
      <c r="R186" s="140">
        <f t="shared" si="104"/>
        <v>5.26380978624276</v>
      </c>
      <c r="S186" s="140">
        <f t="shared" si="104"/>
        <v>5.369085981967615</v>
      </c>
      <c r="T186" s="140">
        <f>S$186*(1+T$215)</f>
        <v>5.476467701606968</v>
      </c>
      <c r="U186" s="140"/>
    </row>
    <row r="187" spans="1:21" ht="12.75">
      <c r="A187" s="229" t="s">
        <v>894</v>
      </c>
      <c r="B187" s="108"/>
      <c r="C187" s="99"/>
      <c r="D187" s="99">
        <f>Data!C$80</f>
        <v>7.161</v>
      </c>
      <c r="E187" s="99">
        <f>Data!D$80</f>
        <v>8.257</v>
      </c>
      <c r="F187" s="289">
        <f>Data!E$80</f>
        <v>8.332</v>
      </c>
      <c r="G187" s="289">
        <f>Data!F$80</f>
        <v>8.293</v>
      </c>
      <c r="H187" s="289">
        <f>Data!G$80</f>
        <v>8.227</v>
      </c>
      <c r="I187" s="289">
        <f>Data!H$80</f>
        <v>8.147</v>
      </c>
      <c r="J187" s="289">
        <f>Data!I$80</f>
        <v>8.067</v>
      </c>
      <c r="K187" s="140">
        <f>J$187*Tracks!N$18/Tracks!M$18</f>
        <v>7.812973795898427</v>
      </c>
      <c r="L187" s="140">
        <f>K$187*Tracks!O$18/Tracks!N$18</f>
        <v>7.705531615589611</v>
      </c>
      <c r="M187" s="140">
        <f>L$187*Tracks!P$18/Tracks!O$18</f>
        <v>7.588933891009831</v>
      </c>
      <c r="N187" s="140">
        <f>M$187*Tracks!Q$18/Tracks!P$18</f>
        <v>7.450263012198111</v>
      </c>
      <c r="O187" s="140">
        <f>N$187*Tracks!R$18/Tracks!Q$18</f>
        <v>7.301628362600783</v>
      </c>
      <c r="P187" s="140">
        <f>O$187*Tracks!S$18/Tracks!R$18</f>
        <v>7.137098807694962</v>
      </c>
      <c r="Q187" s="140">
        <f>P$187*Tracks!T$18/Tracks!S$18</f>
        <v>6.9649525101527106</v>
      </c>
      <c r="R187" s="140">
        <f>Q$187*Tracks!U$18/Tracks!T$18</f>
        <v>6.774491108847487</v>
      </c>
      <c r="S187" s="140">
        <f>R$187*Tracks!V$18/Tracks!U$18</f>
        <v>6.575646116261643</v>
      </c>
      <c r="T187" s="140">
        <f>S$187*Tracks!W$18/Tracks!V$18</f>
        <v>6.36512322388439</v>
      </c>
      <c r="U187" s="140"/>
    </row>
    <row r="188" spans="1:21" s="330" customFormat="1" ht="12.75">
      <c r="A188" s="344" t="s">
        <v>896</v>
      </c>
      <c r="B188" s="63"/>
      <c r="C188" s="103"/>
      <c r="D188" s="103">
        <f>Data!C$126-SUM(D$186:D$187)</f>
        <v>7.228999999999999</v>
      </c>
      <c r="E188" s="103">
        <f>Data!D$126-SUM(E$186:E$187)</f>
        <v>9.514</v>
      </c>
      <c r="F188" s="224">
        <f>Data!E$126-SUM(F$186:F$187)+IF($I$1="Yes",F$275,0)</f>
        <v>9.571</v>
      </c>
      <c r="G188" s="224">
        <f>Data!F$126-SUM(G$186:G$187)+IF($I$1="Yes",G$275,0)</f>
        <v>9.716000000000001</v>
      </c>
      <c r="H188" s="224">
        <f>Data!G$126-SUM(H$186:H$187)+IF($I$1="Yes",H$275,0)</f>
        <v>9.835</v>
      </c>
      <c r="I188" s="224">
        <f>Data!H$126-SUM(I$186:I$187)+IF($I$1="Yes",I$275,0)</f>
        <v>10.095999999999998</v>
      </c>
      <c r="J188" s="224">
        <f>Data!I$126-SUM(J$186:J$187)+IF($I$1="Yes",J$275,0)</f>
        <v>10.883000000000003</v>
      </c>
      <c r="K188" s="111">
        <f aca="true" t="shared" si="105" ref="K188:S188">J$188*(1+K$215)</f>
        <v>11.124680760340832</v>
      </c>
      <c r="L188" s="111">
        <f t="shared" si="105"/>
        <v>11.34947920776145</v>
      </c>
      <c r="M188" s="111">
        <f t="shared" si="105"/>
        <v>11.576468791916678</v>
      </c>
      <c r="N188" s="111">
        <f t="shared" si="105"/>
        <v>11.807998167755011</v>
      </c>
      <c r="O188" s="111">
        <f t="shared" si="105"/>
        <v>12.044158131110112</v>
      </c>
      <c r="P188" s="111">
        <f t="shared" si="105"/>
        <v>12.285041293732315</v>
      </c>
      <c r="Q188" s="111">
        <f t="shared" si="105"/>
        <v>12.53074211960696</v>
      </c>
      <c r="R188" s="111">
        <f t="shared" si="105"/>
        <v>12.7813569619991</v>
      </c>
      <c r="S188" s="111">
        <f t="shared" si="105"/>
        <v>13.036984101239081</v>
      </c>
      <c r="T188" s="111">
        <f>S$188*(1+T$215)</f>
        <v>13.297723783263864</v>
      </c>
      <c r="U188" s="111"/>
    </row>
    <row r="189" spans="1:21" s="304" customFormat="1" ht="12.75">
      <c r="A189" s="344" t="s">
        <v>28</v>
      </c>
      <c r="B189" s="299"/>
      <c r="C189" s="247"/>
      <c r="D189" s="247">
        <f>Data!C127</f>
        <v>0.704</v>
      </c>
      <c r="E189" s="247">
        <f>Data!D127</f>
        <v>0.562</v>
      </c>
      <c r="F189" s="224">
        <f>Data!E127</f>
        <v>0.562</v>
      </c>
      <c r="G189" s="224">
        <f>Data!F127</f>
        <v>0.562</v>
      </c>
      <c r="H189" s="224">
        <f>Data!G127</f>
        <v>0.562</v>
      </c>
      <c r="I189" s="224">
        <f>Data!H127</f>
        <v>0.562</v>
      </c>
      <c r="J189" s="224">
        <f>Data!I127</f>
        <v>0.562</v>
      </c>
      <c r="K189" s="303">
        <f>Tracks!H$114</f>
        <v>0</v>
      </c>
      <c r="L189" s="303">
        <f>Tracks!I$114</f>
        <v>0</v>
      </c>
      <c r="M189" s="303">
        <f>Tracks!J$114</f>
        <v>0</v>
      </c>
      <c r="N189" s="303">
        <f>Tracks!K$114</f>
        <v>0</v>
      </c>
      <c r="O189" s="303">
        <f>Tracks!L$114</f>
        <v>0</v>
      </c>
      <c r="P189" s="303">
        <f>Tracks!M$114</f>
        <v>0</v>
      </c>
      <c r="Q189" s="303">
        <f>Tracks!N$114</f>
        <v>0</v>
      </c>
      <c r="R189" s="303">
        <f>Tracks!O$114</f>
        <v>0</v>
      </c>
      <c r="S189" s="303">
        <f>Tracks!P$114</f>
        <v>0</v>
      </c>
      <c r="T189" s="303">
        <f>Tracks!Q$114</f>
        <v>0</v>
      </c>
      <c r="U189" s="303"/>
    </row>
    <row r="190" spans="1:21" s="304" customFormat="1" ht="12.75">
      <c r="A190" s="344" t="s">
        <v>29</v>
      </c>
      <c r="B190" s="299"/>
      <c r="C190" s="247"/>
      <c r="D190" s="247">
        <f>Data!C128</f>
        <v>0</v>
      </c>
      <c r="E190" s="247">
        <f>Data!D128</f>
        <v>0</v>
      </c>
      <c r="F190" s="224">
        <f>Data!E128</f>
        <v>0.239</v>
      </c>
      <c r="G190" s="224">
        <f>Data!F128</f>
        <v>0.781</v>
      </c>
      <c r="H190" s="224">
        <f>Data!G128</f>
        <v>0.564</v>
      </c>
      <c r="I190" s="224">
        <f>Data!H128</f>
        <v>0.162</v>
      </c>
      <c r="J190" s="224">
        <f>Data!I128</f>
        <v>-0.562</v>
      </c>
      <c r="K190" s="303">
        <f>Tracks!H$121</f>
        <v>0</v>
      </c>
      <c r="L190" s="303">
        <f>Tracks!I$121</f>
        <v>0</v>
      </c>
      <c r="M190" s="303">
        <f>Tracks!J$121</f>
        <v>0</v>
      </c>
      <c r="N190" s="303">
        <f>Tracks!K$121</f>
        <v>0</v>
      </c>
      <c r="O190" s="303">
        <f>Tracks!L$121</f>
        <v>0</v>
      </c>
      <c r="P190" s="303">
        <f>Tracks!M$121</f>
        <v>0</v>
      </c>
      <c r="Q190" s="303">
        <f>Tracks!N$121</f>
        <v>0</v>
      </c>
      <c r="R190" s="303">
        <f>Tracks!O$121</f>
        <v>0</v>
      </c>
      <c r="S190" s="303">
        <f>Tracks!P$121</f>
        <v>0</v>
      </c>
      <c r="T190" s="303">
        <f>Tracks!Q$121</f>
        <v>0</v>
      </c>
      <c r="U190" s="303"/>
    </row>
    <row r="191" spans="1:21" s="304" customFormat="1" ht="12.75">
      <c r="A191" s="382" t="s">
        <v>647</v>
      </c>
      <c r="B191" s="299"/>
      <c r="C191" s="247"/>
      <c r="D191" s="141">
        <f aca="true" t="shared" si="106" ref="D191:J191">SUM(D$186:D$190)</f>
        <v>18.538</v>
      </c>
      <c r="E191" s="141">
        <f t="shared" si="106"/>
        <v>21.863</v>
      </c>
      <c r="F191" s="390">
        <f t="shared" si="106"/>
        <v>22.406000000000002</v>
      </c>
      <c r="G191" s="390">
        <f t="shared" si="106"/>
        <v>23.235</v>
      </c>
      <c r="H191" s="390">
        <f t="shared" si="106"/>
        <v>23.261000000000003</v>
      </c>
      <c r="I191" s="390">
        <f t="shared" si="106"/>
        <v>23.24</v>
      </c>
      <c r="J191" s="390">
        <f t="shared" si="106"/>
        <v>23.432000000000002</v>
      </c>
      <c r="K191" s="148">
        <f aca="true" t="shared" si="107" ref="K191:T191">SUM(K$186:K$190)</f>
        <v>23.519187145401034</v>
      </c>
      <c r="L191" s="148">
        <f t="shared" si="107"/>
        <v>23.72912327480625</v>
      </c>
      <c r="M191" s="148">
        <f t="shared" si="107"/>
        <v>23.9329973834108</v>
      </c>
      <c r="N191" s="148">
        <f t="shared" si="107"/>
        <v>24.1212077744471</v>
      </c>
      <c r="O191" s="148">
        <f t="shared" si="107"/>
        <v>24.305992020094752</v>
      </c>
      <c r="P191" s="148">
        <f t="shared" si="107"/>
        <v>24.481549738338813</v>
      </c>
      <c r="Q191" s="148">
        <f t="shared" si="107"/>
        <v>24.656292459409435</v>
      </c>
      <c r="R191" s="148">
        <f t="shared" si="107"/>
        <v>24.819657857089346</v>
      </c>
      <c r="S191" s="148">
        <f t="shared" si="107"/>
        <v>24.981716199468337</v>
      </c>
      <c r="T191" s="148">
        <f t="shared" si="107"/>
        <v>25.139314708755222</v>
      </c>
      <c r="U191" s="148"/>
    </row>
    <row r="192" spans="1:21" ht="12.75">
      <c r="A192" s="230" t="s">
        <v>900</v>
      </c>
      <c r="B192" s="63"/>
      <c r="C192" s="99"/>
      <c r="D192" s="247">
        <f>SUM(Data!C$75,Data!C$76,Data!C$81)-SUM(D$188,D189,D190)</f>
        <v>5.668</v>
      </c>
      <c r="E192" s="247">
        <f>SUM(Data!D$75,Data!D$76,Data!D$81)-SUM(E$188,E189,E190)</f>
        <v>6.863999999999999</v>
      </c>
      <c r="F192" s="224">
        <f>SUM(Data!E$75,Data!E$76,Data!E$81)-SUM(F$188:F$190)+IF($I$1="Yes",F$275,0)</f>
        <v>7.844000000000001</v>
      </c>
      <c r="G192" s="224">
        <f>SUM(Data!F$75,Data!F$76,Data!F$81)-SUM(G$188:G$190)+IF($I$1="Yes",G$275,0)</f>
        <v>7.574999999999999</v>
      </c>
      <c r="H192" s="224">
        <f>SUM(Data!G$75,Data!G$76,Data!G$81)-SUM(H$188:H$190)+IF($I$1="Yes",H$275,0)</f>
        <v>6.4719999999999995</v>
      </c>
      <c r="I192" s="224">
        <f>SUM(Data!H$75,Data!H$76,Data!H$81)-SUM(I$188:I$190)+IF($I$1="Yes",I$275,0)</f>
        <v>6.127000000000004</v>
      </c>
      <c r="J192" s="224">
        <f>SUM(Data!I$75,Data!I$76,Data!I$81)-SUM(J$188:J$190)+IF($I$1="Yes",J$275,0)</f>
        <v>5.797999999999995</v>
      </c>
      <c r="K192" s="140">
        <f aca="true" t="shared" si="108" ref="K192:S192">J$192*(1+K$215)</f>
        <v>5.92675724050869</v>
      </c>
      <c r="L192" s="140">
        <f t="shared" si="108"/>
        <v>6.0465203019940095</v>
      </c>
      <c r="M192" s="140">
        <f t="shared" si="108"/>
        <v>6.16745070803389</v>
      </c>
      <c r="N192" s="140">
        <f t="shared" si="108"/>
        <v>6.290799722194568</v>
      </c>
      <c r="O192" s="140">
        <f t="shared" si="108"/>
        <v>6.41661571663846</v>
      </c>
      <c r="P192" s="140">
        <f t="shared" si="108"/>
        <v>6.544948030971229</v>
      </c>
      <c r="Q192" s="140">
        <f t="shared" si="108"/>
        <v>6.675846991590654</v>
      </c>
      <c r="R192" s="140">
        <f t="shared" si="108"/>
        <v>6.809363931422467</v>
      </c>
      <c r="S192" s="140">
        <f t="shared" si="108"/>
        <v>6.945551210050917</v>
      </c>
      <c r="T192" s="140">
        <f>S$192*(1+T$215)</f>
        <v>7.084462234251935</v>
      </c>
      <c r="U192" s="140"/>
    </row>
    <row r="193" spans="1:21" ht="12.75">
      <c r="A193" s="230" t="s">
        <v>897</v>
      </c>
      <c r="B193" s="63"/>
      <c r="C193" s="99"/>
      <c r="D193" s="246">
        <f>D$125</f>
        <v>17.418</v>
      </c>
      <c r="E193" s="246">
        <f>E$125</f>
        <v>20.484</v>
      </c>
      <c r="F193" s="295">
        <f aca="true" t="shared" si="109" ref="F193:T193">F$125</f>
        <v>21.982</v>
      </c>
      <c r="G193" s="295">
        <f t="shared" si="109"/>
        <v>23.425</v>
      </c>
      <c r="H193" s="295">
        <f t="shared" si="109"/>
        <v>24.902</v>
      </c>
      <c r="I193" s="295">
        <f t="shared" si="109"/>
        <v>26.453</v>
      </c>
      <c r="J193" s="295">
        <f t="shared" si="109"/>
        <v>28.073</v>
      </c>
      <c r="K193" s="112">
        <f t="shared" si="109"/>
        <v>29.818926678848303</v>
      </c>
      <c r="L193" s="112">
        <f t="shared" si="109"/>
        <v>31.673436692855454</v>
      </c>
      <c r="M193" s="112">
        <f t="shared" si="109"/>
        <v>33.64328309804439</v>
      </c>
      <c r="N193" s="112">
        <f t="shared" si="109"/>
        <v>35.735638939063236</v>
      </c>
      <c r="O193" s="112">
        <f t="shared" si="109"/>
        <v>37.95812336927735</v>
      </c>
      <c r="P193" s="112">
        <f t="shared" si="109"/>
        <v>40.31882939533216</v>
      </c>
      <c r="Q193" s="112">
        <f t="shared" si="109"/>
        <v>42.826353347216305</v>
      </c>
      <c r="R193" s="112">
        <f t="shared" si="109"/>
        <v>45.4898261811382</v>
      </c>
      <c r="S193" s="112">
        <f t="shared" si="109"/>
        <v>48.318946729202935</v>
      </c>
      <c r="T193" s="112">
        <f t="shared" si="109"/>
        <v>51.32401701696575</v>
      </c>
      <c r="U193" s="111"/>
    </row>
    <row r="194" spans="1:21" ht="12.75">
      <c r="A194" s="46" t="s">
        <v>648</v>
      </c>
      <c r="B194" s="63"/>
      <c r="C194" s="99"/>
      <c r="D194" s="101">
        <f>SUM(D$191:D$193)</f>
        <v>41.623999999999995</v>
      </c>
      <c r="E194" s="101">
        <f>SUM(E$191:E$193)</f>
        <v>49.211</v>
      </c>
      <c r="F194" s="293">
        <f aca="true" t="shared" si="110" ref="F194:T194">SUM(F$191:F$193)</f>
        <v>52.232</v>
      </c>
      <c r="G194" s="293">
        <f t="shared" si="110"/>
        <v>54.235</v>
      </c>
      <c r="H194" s="293">
        <f t="shared" si="110"/>
        <v>54.635000000000005</v>
      </c>
      <c r="I194" s="293">
        <f t="shared" si="110"/>
        <v>55.82000000000001</v>
      </c>
      <c r="J194" s="293">
        <f t="shared" si="110"/>
        <v>57.303</v>
      </c>
      <c r="K194" s="106">
        <f t="shared" si="110"/>
        <v>59.264871064758026</v>
      </c>
      <c r="L194" s="106">
        <f t="shared" si="110"/>
        <v>61.44908026965571</v>
      </c>
      <c r="M194" s="106">
        <f t="shared" si="110"/>
        <v>63.74373118948908</v>
      </c>
      <c r="N194" s="106">
        <f t="shared" si="110"/>
        <v>66.1476464357049</v>
      </c>
      <c r="O194" s="106">
        <f t="shared" si="110"/>
        <v>68.68073110601057</v>
      </c>
      <c r="P194" s="106">
        <f t="shared" si="110"/>
        <v>71.3453271646422</v>
      </c>
      <c r="Q194" s="106">
        <f t="shared" si="110"/>
        <v>74.1584927982164</v>
      </c>
      <c r="R194" s="106">
        <f t="shared" si="110"/>
        <v>77.11884796965</v>
      </c>
      <c r="S194" s="106">
        <f t="shared" si="110"/>
        <v>80.2462141387222</v>
      </c>
      <c r="T194" s="106">
        <f t="shared" si="110"/>
        <v>83.5477939599729</v>
      </c>
      <c r="U194" s="106"/>
    </row>
    <row r="195" spans="1:21" ht="12.75">
      <c r="A195" s="46"/>
      <c r="B195" s="63"/>
      <c r="C195" s="105"/>
      <c r="D195" s="102"/>
      <c r="E195" s="102"/>
      <c r="F195" s="108"/>
      <c r="G195" s="108"/>
      <c r="H195" s="108"/>
      <c r="I195" s="108"/>
      <c r="J195" s="108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 s="150" t="s">
        <v>158</v>
      </c>
      <c r="C196" s="105"/>
      <c r="D196" s="101">
        <f>Data!C$102</f>
        <v>10.735</v>
      </c>
      <c r="E196" s="101">
        <f>Data!D$102</f>
        <v>12.918</v>
      </c>
      <c r="F196" s="293">
        <f>Data!E$102</f>
        <v>15.24</v>
      </c>
      <c r="G196" s="293">
        <f>Data!F$102</f>
        <v>17.108</v>
      </c>
      <c r="H196" s="293">
        <f>Data!G$102</f>
        <v>19.383</v>
      </c>
      <c r="I196" s="293">
        <f>Data!H$102</f>
        <v>19.961</v>
      </c>
      <c r="J196" s="293">
        <f>Data!I$102</f>
        <v>21.306</v>
      </c>
      <c r="K196" s="106">
        <f aca="true" t="shared" si="111" ref="K196:S196">J$196*(1+K$212)</f>
        <v>22.22223141701603</v>
      </c>
      <c r="L196" s="106">
        <f t="shared" si="111"/>
        <v>23.105366323753962</v>
      </c>
      <c r="M196" s="106">
        <f t="shared" si="111"/>
        <v>24.107258373343928</v>
      </c>
      <c r="N196" s="106">
        <f t="shared" si="111"/>
        <v>25.24525804754944</v>
      </c>
      <c r="O196" s="106">
        <f t="shared" si="111"/>
        <v>26.407493765520663</v>
      </c>
      <c r="P196" s="106">
        <f t="shared" si="111"/>
        <v>27.59450977455123</v>
      </c>
      <c r="Q196" s="106">
        <f t="shared" si="111"/>
        <v>28.809101108784816</v>
      </c>
      <c r="R196" s="106">
        <f t="shared" si="111"/>
        <v>30.050982047781137</v>
      </c>
      <c r="S196" s="106">
        <f t="shared" si="111"/>
        <v>31.33364795925465</v>
      </c>
      <c r="T196" s="106">
        <f>S$196*(1+T$212)</f>
        <v>32.620497523082285</v>
      </c>
      <c r="U196" s="106"/>
    </row>
    <row r="197" spans="1:21" ht="12.75">
      <c r="A197" s="150"/>
      <c r="C197" s="105"/>
      <c r="D197" s="101"/>
      <c r="E197" s="101"/>
      <c r="F197" s="296"/>
      <c r="G197" s="296"/>
      <c r="H197" s="296"/>
      <c r="I197" s="296"/>
      <c r="J197" s="296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 s="150" t="s">
        <v>159</v>
      </c>
      <c r="C198" s="105"/>
      <c r="D198" s="101"/>
      <c r="E198" s="101"/>
      <c r="F198" s="149"/>
      <c r="G198" s="149"/>
      <c r="H198" s="149"/>
      <c r="I198" s="149"/>
      <c r="J198" s="149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</row>
    <row r="199" spans="1:20" ht="12.75">
      <c r="A199" s="46" t="s">
        <v>6</v>
      </c>
      <c r="C199" s="105"/>
      <c r="D199" s="101">
        <f>Data!C$101</f>
        <v>31.163</v>
      </c>
      <c r="E199" s="101">
        <f>Data!D$101</f>
        <v>33.192</v>
      </c>
      <c r="F199" s="293">
        <f>Data!E$101+IF($I$1="Yes",F$276,0)+IF($F$1="Yes",F$284,0)</f>
        <v>33.378</v>
      </c>
      <c r="G199" s="293">
        <f>Data!F$101+IF($I$1="Yes",G$276,0)+IF($F$1="Yes",G$284,0)</f>
        <v>35.564</v>
      </c>
      <c r="H199" s="293">
        <f>Data!G$101+IF($I$1="Yes",H$276,0)+IF($F$1="Yes",H$284,0)</f>
        <v>44.813</v>
      </c>
      <c r="I199" s="293">
        <f>Data!H$101+IF($I$1="Yes",I$276,0)+IF($F$1="Yes",I$284,0)</f>
        <v>49.723</v>
      </c>
      <c r="J199" s="293">
        <f>Data!I$101+IF($I$1="Yes",J$276,0)+IF($F$1="Yes",J$284,0)</f>
        <v>55.059</v>
      </c>
      <c r="K199" s="104">
        <f aca="true" t="shared" si="112" ref="K199:T199">SUM(J$199,J$200)+(K$33-J$33)-(K$35-J$35)-K$23-K$200</f>
        <v>60.99437933187036</v>
      </c>
      <c r="L199" s="104">
        <f t="shared" si="112"/>
        <v>66.99179799537649</v>
      </c>
      <c r="M199" s="104">
        <f t="shared" si="112"/>
        <v>72.5296062957794</v>
      </c>
      <c r="N199" s="104">
        <f t="shared" si="112"/>
        <v>77.40418486100889</v>
      </c>
      <c r="O199" s="104">
        <f t="shared" si="112"/>
        <v>81.52851116778604</v>
      </c>
      <c r="P199" s="104">
        <f t="shared" si="112"/>
        <v>84.80383870132613</v>
      </c>
      <c r="Q199" s="104">
        <f t="shared" si="112"/>
        <v>87.04942383433834</v>
      </c>
      <c r="R199" s="104">
        <f t="shared" si="112"/>
        <v>88.7501668190053</v>
      </c>
      <c r="S199" s="104">
        <f t="shared" si="112"/>
        <v>89.84147794100139</v>
      </c>
      <c r="T199" s="104">
        <f t="shared" si="112"/>
        <v>90.2760370978778</v>
      </c>
    </row>
    <row r="200" spans="1:21" s="330" customFormat="1" ht="12.75">
      <c r="A200" s="389" t="s">
        <v>157</v>
      </c>
      <c r="C200" s="395"/>
      <c r="D200" s="103">
        <f>Data!C$93-Data!C$101</f>
        <v>4.729000000000003</v>
      </c>
      <c r="E200" s="103">
        <f>Data!D$93-Data!D$101</f>
        <v>4.143999999999998</v>
      </c>
      <c r="F200" s="224">
        <f>Data!E$93-Data!E$101</f>
        <v>4.414999999999999</v>
      </c>
      <c r="G200" s="224">
        <f>Data!F$93-Data!F$101</f>
        <v>4.4339999999999975</v>
      </c>
      <c r="H200" s="224">
        <f>Data!G$93-Data!G$101</f>
        <v>4.481999999999999</v>
      </c>
      <c r="I200" s="224">
        <f>Data!H$93-Data!H$101</f>
        <v>4.225999999999999</v>
      </c>
      <c r="J200" s="224">
        <f>Data!I$93-Data!I$101</f>
        <v>3.7550000000000026</v>
      </c>
      <c r="K200" s="111">
        <f aca="true" t="shared" si="113" ref="K200:S200">SUM(J$200,(K$126-K$127)-(J$126-J$127),(K$135-K$136)-(J$135-J$136))</f>
        <v>4.543186636115866</v>
      </c>
      <c r="L200" s="111">
        <f t="shared" si="113"/>
        <v>4.765891623370336</v>
      </c>
      <c r="M200" s="111">
        <f t="shared" si="113"/>
        <v>5.002683435028721</v>
      </c>
      <c r="N200" s="111">
        <f>SUM(M$200,(N$126-N$127)-(M$126-M$127),(N$135-N$136)-(M$135-M$136))</f>
        <v>5.254454331408115</v>
      </c>
      <c r="O200" s="111">
        <f>SUM(N$200,(O$126-O$127)-(N$126-N$127),(O$135-O$136)-(N$135-N$136))</f>
        <v>5.522153170879773</v>
      </c>
      <c r="P200" s="111">
        <f t="shared" si="113"/>
        <v>5.806789005534271</v>
      </c>
      <c r="Q200" s="111">
        <f t="shared" si="113"/>
        <v>6.109434905649306</v>
      </c>
      <c r="R200" s="111">
        <f t="shared" si="113"/>
        <v>6.431232027544428</v>
      </c>
      <c r="S200" s="111">
        <f t="shared" si="113"/>
        <v>6.773393940338107</v>
      </c>
      <c r="T200" s="111">
        <f>SUM(S$200,(T$126-T$127)-(S$126-S$127),(T$135-T$136)-(S$135-S$136))</f>
        <v>7.137211228113549</v>
      </c>
      <c r="U200" s="111"/>
    </row>
    <row r="201" spans="1:21" s="330" customFormat="1" ht="12.75">
      <c r="A201" s="382" t="s">
        <v>160</v>
      </c>
      <c r="C201" s="395"/>
      <c r="D201" s="397">
        <f aca="true" t="shared" si="114" ref="D201:T201">SUM(D$199,D$200)</f>
        <v>35.892</v>
      </c>
      <c r="E201" s="397">
        <f t="shared" si="114"/>
        <v>37.336</v>
      </c>
      <c r="F201" s="390">
        <f t="shared" si="114"/>
        <v>37.793</v>
      </c>
      <c r="G201" s="390">
        <f t="shared" si="114"/>
        <v>39.998</v>
      </c>
      <c r="H201" s="390">
        <f t="shared" si="114"/>
        <v>49.295</v>
      </c>
      <c r="I201" s="390">
        <f t="shared" si="114"/>
        <v>53.949</v>
      </c>
      <c r="J201" s="390">
        <f t="shared" si="114"/>
        <v>58.814</v>
      </c>
      <c r="K201" s="398">
        <f t="shared" si="114"/>
        <v>65.53756596798623</v>
      </c>
      <c r="L201" s="398">
        <f t="shared" si="114"/>
        <v>71.75768961874682</v>
      </c>
      <c r="M201" s="398">
        <f t="shared" si="114"/>
        <v>77.53228973080812</v>
      </c>
      <c r="N201" s="398">
        <f>SUM(N$199,N$200)</f>
        <v>82.658639192417</v>
      </c>
      <c r="O201" s="398">
        <f>SUM(O$199,O$200)</f>
        <v>87.05066433866581</v>
      </c>
      <c r="P201" s="398">
        <f t="shared" si="114"/>
        <v>90.6106277068604</v>
      </c>
      <c r="Q201" s="398">
        <f t="shared" si="114"/>
        <v>93.15885873998765</v>
      </c>
      <c r="R201" s="398">
        <f t="shared" si="114"/>
        <v>95.18139884654973</v>
      </c>
      <c r="S201" s="398">
        <f t="shared" si="114"/>
        <v>96.6148718813395</v>
      </c>
      <c r="T201" s="398">
        <f t="shared" si="114"/>
        <v>97.41324832599135</v>
      </c>
      <c r="U201" s="398"/>
    </row>
    <row r="202" spans="1:21" s="304" customFormat="1" ht="12.75">
      <c r="A202" s="389" t="s">
        <v>792</v>
      </c>
      <c r="C202" s="425"/>
      <c r="D202" s="247">
        <f>Data!C$94</f>
        <v>0.913</v>
      </c>
      <c r="E202" s="457">
        <f>Data!D$94</f>
        <v>0.409</v>
      </c>
      <c r="F202" s="224">
        <f>Data!E$94</f>
        <v>0.649</v>
      </c>
      <c r="G202" s="224">
        <f>Data!F$94</f>
        <v>0.757</v>
      </c>
      <c r="H202" s="224">
        <f>Data!G$94</f>
        <v>0.881</v>
      </c>
      <c r="I202" s="224">
        <f>Data!H$94</f>
        <v>1.032</v>
      </c>
      <c r="J202" s="224">
        <f>Data!I$94</f>
        <v>1.207</v>
      </c>
      <c r="K202" s="303">
        <f>K120-K119</f>
        <v>1.0395738410929098</v>
      </c>
      <c r="L202" s="303">
        <f aca="true" t="shared" si="115" ref="L202:T202">L120-L119</f>
        <v>1.167683865040587</v>
      </c>
      <c r="M202" s="303">
        <f t="shared" si="115"/>
        <v>1.3029083061740039</v>
      </c>
      <c r="N202" s="303">
        <f t="shared" si="115"/>
        <v>1.4469531073370092</v>
      </c>
      <c r="O202" s="303">
        <f t="shared" si="115"/>
        <v>1.6000906711105287</v>
      </c>
      <c r="P202" s="303">
        <f t="shared" si="115"/>
        <v>1.7620930961377468</v>
      </c>
      <c r="Q202" s="303">
        <f t="shared" si="115"/>
        <v>1.932846701599594</v>
      </c>
      <c r="R202" s="303">
        <f t="shared" si="115"/>
        <v>2.109990709868484</v>
      </c>
      <c r="S202" s="303">
        <f t="shared" si="115"/>
        <v>2.2931463687821037</v>
      </c>
      <c r="T202" s="303">
        <f t="shared" si="115"/>
        <v>2.481421003519486</v>
      </c>
      <c r="U202" s="303"/>
    </row>
    <row r="203" spans="1:21" s="330" customFormat="1" ht="12.75">
      <c r="A203" s="382" t="s">
        <v>161</v>
      </c>
      <c r="C203" s="395"/>
      <c r="D203" s="397">
        <f aca="true" t="shared" si="116" ref="D203:T203">SUM(D$201,D$202)</f>
        <v>36.805</v>
      </c>
      <c r="E203" s="397">
        <f t="shared" si="116"/>
        <v>37.745</v>
      </c>
      <c r="F203" s="390">
        <f t="shared" si="116"/>
        <v>38.442</v>
      </c>
      <c r="G203" s="390">
        <f t="shared" si="116"/>
        <v>40.754999999999995</v>
      </c>
      <c r="H203" s="390">
        <f t="shared" si="116"/>
        <v>50.176</v>
      </c>
      <c r="I203" s="390">
        <f t="shared" si="116"/>
        <v>54.980999999999995</v>
      </c>
      <c r="J203" s="390">
        <f t="shared" si="116"/>
        <v>60.021</v>
      </c>
      <c r="K203" s="398">
        <f t="shared" si="116"/>
        <v>66.57713980907914</v>
      </c>
      <c r="L203" s="398">
        <f t="shared" si="116"/>
        <v>72.92537348378741</v>
      </c>
      <c r="M203" s="398">
        <f t="shared" si="116"/>
        <v>78.83519803698212</v>
      </c>
      <c r="N203" s="398">
        <f t="shared" si="116"/>
        <v>84.10559229975401</v>
      </c>
      <c r="O203" s="398">
        <f>SUM(O$201,O$202)</f>
        <v>88.65075500977633</v>
      </c>
      <c r="P203" s="398">
        <f t="shared" si="116"/>
        <v>92.37272080299815</v>
      </c>
      <c r="Q203" s="398">
        <f t="shared" si="116"/>
        <v>95.09170544158724</v>
      </c>
      <c r="R203" s="398">
        <f t="shared" si="116"/>
        <v>97.29138955641821</v>
      </c>
      <c r="S203" s="398">
        <f t="shared" si="116"/>
        <v>98.9080182501216</v>
      </c>
      <c r="T203" s="398">
        <f t="shared" si="116"/>
        <v>99.89466932951083</v>
      </c>
      <c r="U203" s="398"/>
    </row>
    <row r="204" spans="1:21" ht="12.75">
      <c r="A204" s="46"/>
      <c r="C204" s="105"/>
      <c r="D204" s="101"/>
      <c r="E204" s="101"/>
      <c r="F204" s="293"/>
      <c r="G204" s="293"/>
      <c r="H204" s="293"/>
      <c r="I204" s="293"/>
      <c r="J204" s="293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</row>
    <row r="205" spans="1:20" ht="12.75">
      <c r="A205" s="150" t="s">
        <v>813</v>
      </c>
      <c r="C205" s="105"/>
      <c r="D205" s="99">
        <f>Data!C$77+Data!C202-1.6</f>
        <v>6.112</v>
      </c>
      <c r="E205" s="99">
        <f>Data!D$77+Data!D202-1.6</f>
        <v>6.355</v>
      </c>
      <c r="F205" s="146">
        <f>Data!E$77+Data!E202-1.6</f>
        <v>6.355</v>
      </c>
      <c r="G205" s="146">
        <f>Data!F$77+Data!F202-1.6</f>
        <v>6.355</v>
      </c>
      <c r="H205" s="146">
        <f>Data!G$77+Data!G202-1.6</f>
        <v>6.355</v>
      </c>
      <c r="I205" s="146">
        <f>Data!H$77+Data!H202-1.6</f>
        <v>6.355</v>
      </c>
      <c r="J205" s="146">
        <f>Data!I$77+Data!I202-1.6</f>
        <v>6.355</v>
      </c>
      <c r="K205" s="104">
        <f ca="1">OFFSET(Scenarios!$A$46,0,$C$1)</f>
        <v>6.355</v>
      </c>
      <c r="L205" s="104">
        <f ca="1">OFFSET(Scenarios!$A$46,0,$C$1)</f>
        <v>6.355</v>
      </c>
      <c r="M205" s="104">
        <f ca="1">OFFSET(Scenarios!$A$46,0,$C$1)</f>
        <v>6.355</v>
      </c>
      <c r="N205" s="104">
        <f ca="1">OFFSET(Scenarios!$A$46,0,$C$1)</f>
        <v>6.355</v>
      </c>
      <c r="O205" s="104">
        <f ca="1">OFFSET(Scenarios!$A$46,0,$C$1)</f>
        <v>6.355</v>
      </c>
      <c r="P205" s="104">
        <f ca="1">OFFSET(Scenarios!$A$46,0,$C$1)</f>
        <v>6.355</v>
      </c>
      <c r="Q205" s="104">
        <f ca="1">OFFSET(Scenarios!$A$46,0,$C$1)</f>
        <v>6.355</v>
      </c>
      <c r="R205" s="104">
        <f ca="1">OFFSET(Scenarios!$A$46,0,$C$1)</f>
        <v>6.355</v>
      </c>
      <c r="S205" s="104">
        <f ca="1">OFFSET(Scenarios!$A$46,0,$C$1)</f>
        <v>6.355</v>
      </c>
      <c r="T205" s="104">
        <f ca="1">OFFSET(Scenarios!$A$46,0,$C$1)</f>
        <v>6.355</v>
      </c>
    </row>
    <row r="206" spans="1:20" ht="12" customHeight="1">
      <c r="A206" s="150" t="s">
        <v>814</v>
      </c>
      <c r="B206" s="105"/>
      <c r="C206" s="105"/>
      <c r="D206" s="99">
        <f aca="true" t="shared" si="117" ref="D206:J206">C$206</f>
        <v>0</v>
      </c>
      <c r="E206" s="99">
        <f t="shared" si="117"/>
        <v>0</v>
      </c>
      <c r="F206" s="146">
        <f t="shared" si="117"/>
        <v>0</v>
      </c>
      <c r="G206" s="146">
        <f t="shared" si="117"/>
        <v>0</v>
      </c>
      <c r="H206" s="146">
        <f t="shared" si="117"/>
        <v>0</v>
      </c>
      <c r="I206" s="146">
        <f t="shared" si="117"/>
        <v>0</v>
      </c>
      <c r="J206" s="146">
        <f t="shared" si="117"/>
        <v>0</v>
      </c>
      <c r="K206" s="104">
        <f ca="1">IF(OFFSET(Scenarios!$A$43,0,$C$1)="Yes",MAX(MIN(OFFSET(Scenarios!$A$44,0,$C$1)-SUM($D$206:J$206),SUM(K$157,K$163,K$167,K$171,K$175,K$182)-SUM(J$157,J$163,J$167,J$171,J$182)-(K$35-J$35)-K$23+K$120-J$120),0),0)</f>
        <v>0</v>
      </c>
      <c r="L206" s="104">
        <f ca="1">IF(OFFSET(Scenarios!$A$43,0,$C$1)="Yes",MAX(MIN(OFFSET(Scenarios!$A$44,0,$C$1)-SUM($D$206:K$206),SUM(L$157,L$163,L$167,L$171,L$175,L$182)-SUM(K$157,K$163,K$167,K$171,K$182)-(L$35-K$35)-L$23+L$120-K$120),0),0)</f>
        <v>0</v>
      </c>
      <c r="M206" s="104">
        <f ca="1">IF(OFFSET(Scenarios!$A$43,0,$C$1)="Yes",MAX(MIN(OFFSET(Scenarios!$A$44,0,$C$1)-SUM($D$206:L$206),SUM(M$157,M$163,M$167,M$171,M$175,M$182)-SUM(L$157,L$163,L$167,L$171,L$182)-(M$35-L$35)-M$23+M$120-L$120),0),0)</f>
        <v>0</v>
      </c>
      <c r="N206" s="104">
        <f ca="1">IF(OFFSET(Scenarios!$A$43,0,$C$1)="Yes",MAX(MIN(OFFSET(Scenarios!$A$44,0,$C$1)-SUM($D$206:M$206),SUM(N$157,N$163,N$167,N$171,N$175,N$182)-SUM(M$157,M$163,M$167,M$171,M$182)-(N$35-M$35)-N$23+N$120-M$120),0),0)</f>
        <v>0</v>
      </c>
      <c r="O206" s="104">
        <f ca="1">IF(OFFSET(Scenarios!$A$43,0,$C$1)="Yes",MAX(MIN(OFFSET(Scenarios!$A$44,0,$C$1)-SUM($D$206:N$206),SUM(O$157,O$163,O$167,O$171,O$175,O$182)-SUM(N$157,N$163,N$167,N$171,N$182)-(O$35-N$35)-O$23+O$120-N$120),0),0)</f>
        <v>0</v>
      </c>
      <c r="P206" s="104">
        <f ca="1">IF(OFFSET(Scenarios!$A$43,0,$C$1)="Yes",MAX(MIN(OFFSET(Scenarios!$A$44,0,$C$1)-SUM($D$206:O$206),SUM(P$157,P$163,P$167,P$171,P$175,P$182)-SUM(O$157,O$163,O$167,O$171,O$182)-(P$35-O$35)-P$23+P$120-O$120),0),0)</f>
        <v>0</v>
      </c>
      <c r="Q206" s="104">
        <f ca="1">IF(OFFSET(Scenarios!$A$43,0,$C$1)="Yes",MAX(MIN(OFFSET(Scenarios!$A$44,0,$C$1)-SUM($D$206:P$206),SUM(Q$157,Q$163,Q$167,Q$171,Q$175,Q$182)-SUM(P$157,P$163,P$167,P$171,P$182)-(Q$35-P$35)-Q$23+Q$120-P$120),0),0)</f>
        <v>0</v>
      </c>
      <c r="R206" s="104">
        <f ca="1">IF(OFFSET(Scenarios!$A$43,0,$C$1)="Yes",MAX(MIN(OFFSET(Scenarios!$A$44,0,$C$1)-SUM($D$206:Q$206),SUM(R$157,R$163,R$167,R$171,R$175,R$182)-SUM(Q$157,Q$163,Q$167,Q$171,Q$182)-(R$35-Q$35)-R$23+R$120-Q$120),0),0)</f>
        <v>0</v>
      </c>
      <c r="S206" s="104">
        <f ca="1">IF(OFFSET(Scenarios!$A$43,0,$C$1)="Yes",MAX(MIN(OFFSET(Scenarios!$A$44,0,$C$1)-SUM($D$206:R$206),SUM(S$157,S$163,S$167,S$171,S$175,S$182)-SUM(R$157,R$163,R$167,R$171,R$182)-(S$35-R$35)-S$23+S$120-R$120),0),0)</f>
        <v>0</v>
      </c>
      <c r="T206" s="104">
        <f ca="1">IF(OFFSET(Scenarios!$A$43,0,$C$1)="Yes",MAX(MIN(OFFSET(Scenarios!$A$44,0,$C$1)-SUM($D$206:S$206),SUM(T$157,T$163,T$167,T$171,T$175,T$182)-SUM(S$157,S$163,S$167,S$171,S$182)-(T$35-S$35)-T$23+T$120-S$120),0),0)</f>
        <v>0</v>
      </c>
    </row>
    <row r="207" spans="1:10" ht="12.75">
      <c r="A207" s="150"/>
      <c r="C207" s="105"/>
      <c r="D207" s="102"/>
      <c r="E207" s="102"/>
      <c r="F207" s="146"/>
      <c r="G207" s="146"/>
      <c r="H207" s="146"/>
      <c r="I207" s="146"/>
      <c r="J207" s="146"/>
    </row>
    <row r="208" spans="1:5" s="304" customFormat="1" ht="15.75">
      <c r="A208" s="383" t="s">
        <v>124</v>
      </c>
      <c r="C208" s="387"/>
      <c r="D208" s="387"/>
      <c r="E208" s="387"/>
    </row>
    <row r="209" spans="1:21" s="304" customFormat="1" ht="12.75">
      <c r="A209" s="382" t="s">
        <v>604</v>
      </c>
      <c r="C209" s="387"/>
      <c r="D209" s="247">
        <f>Data!C$205</f>
        <v>131.562</v>
      </c>
      <c r="E209" s="247">
        <f>Data!D$205</f>
        <v>134.60788961964735</v>
      </c>
      <c r="F209" s="224">
        <f ca="1">IF($F$1="Yes",OFFSET(ReadyReckoner!$A$34,0,F$262),Data!E$205)</f>
        <v>134.8398687425332</v>
      </c>
      <c r="G209" s="224">
        <f ca="1">IF($F$1="Yes",OFFSET(ReadyReckoner!$A$34,0,G$262),Data!F$205)</f>
        <v>137.931742601089</v>
      </c>
      <c r="H209" s="224">
        <f ca="1">IF($F$1="Yes",OFFSET(ReadyReckoner!$A$34,0,H$262),Data!G$205)</f>
        <v>142.60943094334755</v>
      </c>
      <c r="I209" s="224">
        <f ca="1">IF($F$1="Yes",OFFSET(ReadyReckoner!$A$34,0,I$262),Data!H$205)</f>
        <v>147.4449609185727</v>
      </c>
      <c r="J209" s="224">
        <f ca="1">IF($F$1="Yes",OFFSET(ReadyReckoner!$A$34,0,J$262),Data!I$205)</f>
        <v>151.97579280481264</v>
      </c>
      <c r="K209" s="303">
        <f aca="true" t="shared" si="118" ref="K209:T209">J$209*(1+K$230)*(K$222*(1-K$225)*K$228)/(J$222*(1-J$225)*J$228)</f>
        <v>155.7072851276068</v>
      </c>
      <c r="L209" s="303">
        <f t="shared" si="118"/>
        <v>159.55936715279128</v>
      </c>
      <c r="M209" s="303">
        <f t="shared" si="118"/>
        <v>163.46417232581345</v>
      </c>
      <c r="N209" s="303">
        <f t="shared" si="118"/>
        <v>167.31129941186265</v>
      </c>
      <c r="O209" s="303">
        <f t="shared" si="118"/>
        <v>170.99178438317227</v>
      </c>
      <c r="P209" s="303">
        <f t="shared" si="118"/>
        <v>174.70498302301044</v>
      </c>
      <c r="Q209" s="303">
        <f t="shared" si="118"/>
        <v>178.45868881651336</v>
      </c>
      <c r="R209" s="303">
        <f t="shared" si="118"/>
        <v>182.23908132566544</v>
      </c>
      <c r="S209" s="303">
        <f t="shared" si="118"/>
        <v>186.0952236302062</v>
      </c>
      <c r="T209" s="303">
        <f t="shared" si="118"/>
        <v>189.93923111654846</v>
      </c>
      <c r="U209" s="303"/>
    </row>
    <row r="210" spans="1:21" s="304" customFormat="1" ht="12.75">
      <c r="A210" s="399" t="s">
        <v>583</v>
      </c>
      <c r="C210" s="387"/>
      <c r="D210" s="388"/>
      <c r="E210" s="388"/>
      <c r="F210" s="400">
        <f aca="true" t="shared" si="119" ref="F210:S210">F$209/E$209-1</f>
        <v>0.0017233694365266228</v>
      </c>
      <c r="G210" s="400">
        <f t="shared" si="119"/>
        <v>0.022929967875150448</v>
      </c>
      <c r="H210" s="400">
        <f t="shared" si="119"/>
        <v>0.033913066376510814</v>
      </c>
      <c r="I210" s="400">
        <f t="shared" si="119"/>
        <v>0.03390750487705185</v>
      </c>
      <c r="J210" s="400">
        <f t="shared" si="119"/>
        <v>0.030728970715670156</v>
      </c>
      <c r="K210" s="401">
        <f t="shared" si="119"/>
        <v>0.024553201887794307</v>
      </c>
      <c r="L210" s="401">
        <f t="shared" si="119"/>
        <v>0.02473925367093499</v>
      </c>
      <c r="M210" s="401">
        <f t="shared" si="119"/>
        <v>0.024472428304901594</v>
      </c>
      <c r="N210" s="401">
        <f t="shared" si="119"/>
        <v>0.023534986482427467</v>
      </c>
      <c r="O210" s="401">
        <f t="shared" si="119"/>
        <v>0.021997826711330104</v>
      </c>
      <c r="P210" s="401">
        <f t="shared" si="119"/>
        <v>0.021715655247607213</v>
      </c>
      <c r="Q210" s="401">
        <f t="shared" si="119"/>
        <v>0.02148596868017516</v>
      </c>
      <c r="R210" s="401">
        <f t="shared" si="119"/>
        <v>0.021183572143349094</v>
      </c>
      <c r="S210" s="401">
        <f t="shared" si="119"/>
        <v>0.02115979885593111</v>
      </c>
      <c r="T210" s="401">
        <f>T$209/S$209-1</f>
        <v>0.020656131905785857</v>
      </c>
      <c r="U210" s="401"/>
    </row>
    <row r="211" spans="1:21" s="304" customFormat="1" ht="12.75">
      <c r="A211" s="382" t="s">
        <v>555</v>
      </c>
      <c r="C211" s="387"/>
      <c r="D211" s="247">
        <f>Data!C$206</f>
        <v>168.672</v>
      </c>
      <c r="E211" s="247">
        <f>Data!D$206</f>
        <v>180.0773001920602</v>
      </c>
      <c r="F211" s="224">
        <f ca="1">IF($F$1="Yes",OFFSET(ReadyReckoner!$A$35,0,F$262),Data!E$206)</f>
        <v>184.3896229064544</v>
      </c>
      <c r="G211" s="224">
        <f ca="1">IF($F$1="Yes",OFFSET(ReadyReckoner!$A$35,0,G$262),Data!F$206)</f>
        <v>190.71261622062738</v>
      </c>
      <c r="H211" s="224">
        <f ca="1">IF($F$1="Yes",OFFSET(ReadyReckoner!$A$35,0,H$262),Data!G$206)</f>
        <v>199.88097132242692</v>
      </c>
      <c r="I211" s="224">
        <f ca="1">IF($F$1="Yes",OFFSET(ReadyReckoner!$A$35,0,I$262),Data!H$206)</f>
        <v>210.20457981796744</v>
      </c>
      <c r="J211" s="224">
        <f ca="1">IF($F$1="Yes",OFFSET(ReadyReckoner!$A$35,0,J$262),Data!I$206)</f>
        <v>220.57390730090705</v>
      </c>
      <c r="K211" s="303">
        <v>230.0593453767107</v>
      </c>
      <c r="L211" s="303">
        <v>239.20214632728838</v>
      </c>
      <c r="M211" s="303">
        <v>249.57440034361113</v>
      </c>
      <c r="N211" s="303">
        <v>261.35573117279864</v>
      </c>
      <c r="O211" s="303">
        <v>273.3879696745159</v>
      </c>
      <c r="P211" s="303">
        <v>285.6767502593559</v>
      </c>
      <c r="Q211" s="303">
        <v>298.2510089829889</v>
      </c>
      <c r="R211" s="303">
        <v>311.1077878770534</v>
      </c>
      <c r="S211" s="303">
        <v>324.38679997953125</v>
      </c>
      <c r="T211" s="303">
        <v>337.7091240385724</v>
      </c>
      <c r="U211" s="402"/>
    </row>
    <row r="212" spans="1:21" s="304" customFormat="1" ht="12.75">
      <c r="A212" s="399" t="s">
        <v>583</v>
      </c>
      <c r="C212" s="387"/>
      <c r="D212" s="388"/>
      <c r="E212" s="388"/>
      <c r="F212" s="400">
        <f aca="true" t="shared" si="120" ref="F212:S212">F$211/E$211-1</f>
        <v>0.02394706445395922</v>
      </c>
      <c r="G212" s="400">
        <f t="shared" si="120"/>
        <v>0.03429148134535098</v>
      </c>
      <c r="H212" s="400">
        <f t="shared" si="120"/>
        <v>0.04807419290600601</v>
      </c>
      <c r="I212" s="400">
        <f t="shared" si="120"/>
        <v>0.05164878090815139</v>
      </c>
      <c r="J212" s="400">
        <f t="shared" si="120"/>
        <v>0.04932969344397353</v>
      </c>
      <c r="K212" s="401">
        <f t="shared" si="120"/>
        <v>0.04300344583760585</v>
      </c>
      <c r="L212" s="401">
        <f t="shared" si="120"/>
        <v>0.03974105435972097</v>
      </c>
      <c r="M212" s="401">
        <f t="shared" si="120"/>
        <v>0.043361876870999794</v>
      </c>
      <c r="N212" s="401">
        <f t="shared" si="120"/>
        <v>0.04720568621207599</v>
      </c>
      <c r="O212" s="401">
        <f t="shared" si="120"/>
        <v>0.04603778324555652</v>
      </c>
      <c r="P212" s="401">
        <f t="shared" si="120"/>
        <v>0.0449499683525596</v>
      </c>
      <c r="Q212" s="401">
        <f t="shared" si="120"/>
        <v>0.04401568805377831</v>
      </c>
      <c r="R212" s="401">
        <f t="shared" si="120"/>
        <v>0.043107243586216315</v>
      </c>
      <c r="S212" s="401">
        <f t="shared" si="120"/>
        <v>0.042682994833049825</v>
      </c>
      <c r="T212" s="401">
        <f>T$211/S$211-1</f>
        <v>0.041069254543901756</v>
      </c>
      <c r="U212" s="401"/>
    </row>
    <row r="213" spans="1:10" ht="12.75">
      <c r="A213" s="51" t="s">
        <v>571</v>
      </c>
      <c r="D213" s="102"/>
      <c r="E213" s="102"/>
      <c r="J213" s="171"/>
    </row>
    <row r="214" spans="1:21" ht="12.75">
      <c r="A214" s="50" t="s">
        <v>556</v>
      </c>
      <c r="D214" s="250">
        <f>Data!C$207</f>
        <v>1020</v>
      </c>
      <c r="E214" s="250">
        <f>Data!D$207</f>
        <v>1061</v>
      </c>
      <c r="F214" s="239">
        <f ca="1">IF($F$1="Yes",OFFSET(ReadyReckoner!$A$36,0,F$262),Data!E$207)</f>
        <v>1097.159</v>
      </c>
      <c r="G214" s="239">
        <f ca="1">IF($F$1="Yes",OFFSET(ReadyReckoner!$A$36,0,G$262),Data!F$207)</f>
        <v>1121.972</v>
      </c>
      <c r="H214" s="239">
        <f ca="1">IF($F$1="Yes",OFFSET(ReadyReckoner!$A$36,0,H$262),Data!G$207)</f>
        <v>1148.946</v>
      </c>
      <c r="I214" s="239">
        <f ca="1">IF($F$1="Yes",OFFSET(ReadyReckoner!$A$36,0,I$262),Data!H$207)</f>
        <v>1177.13</v>
      </c>
      <c r="J214" s="239">
        <f ca="1">IF($F$1="Yes",OFFSET(ReadyReckoner!$A$36,0,J$262),Data!I$207)</f>
        <v>1205.625</v>
      </c>
      <c r="K214" s="240">
        <f aca="true" t="shared" si="121" ref="K214:S214">J$214*(1+K$215)</f>
        <v>1232.3985336475155</v>
      </c>
      <c r="L214" s="240">
        <f t="shared" si="121"/>
        <v>1257.301834958871</v>
      </c>
      <c r="M214" s="240">
        <f t="shared" si="121"/>
        <v>1282.4478716580484</v>
      </c>
      <c r="N214" s="240">
        <f t="shared" si="121"/>
        <v>1308.0968290912094</v>
      </c>
      <c r="O214" s="240">
        <f t="shared" si="121"/>
        <v>1334.2587656730336</v>
      </c>
      <c r="P214" s="240">
        <f t="shared" si="121"/>
        <v>1360.9439409864942</v>
      </c>
      <c r="Q214" s="240">
        <f t="shared" si="121"/>
        <v>1388.1628198062242</v>
      </c>
      <c r="R214" s="240">
        <f t="shared" si="121"/>
        <v>1415.9260762023487</v>
      </c>
      <c r="S214" s="240">
        <f t="shared" si="121"/>
        <v>1444.2445977263956</v>
      </c>
      <c r="T214" s="240">
        <f>S$214*(1+T$215)</f>
        <v>1473.1294896809236</v>
      </c>
      <c r="U214" s="240"/>
    </row>
    <row r="215" spans="1:21" s="108" customFormat="1" ht="12.75">
      <c r="A215" s="231" t="s">
        <v>583</v>
      </c>
      <c r="C215" s="251"/>
      <c r="D215" s="341"/>
      <c r="E215" s="341"/>
      <c r="F215" s="342">
        <f>F$214/E$214-1</f>
        <v>0.03408011310084835</v>
      </c>
      <c r="G215" s="342">
        <f>G$214/F$214-1</f>
        <v>0.022615682868207587</v>
      </c>
      <c r="H215" s="342">
        <f>H$214/G$214-1</f>
        <v>0.024041598186050894</v>
      </c>
      <c r="I215" s="342">
        <f>I$214/H$214-1</f>
        <v>0.024530308648100352</v>
      </c>
      <c r="J215" s="342">
        <f>J$214/I$214-1</f>
        <v>0.02420718187455928</v>
      </c>
      <c r="K215" s="343">
        <f ca="1">IF(J$215&lt;OFFSET(Scenarios!$A$7,0,$C$1),MIN(J$215+OFFSET(Scenarios!$A$13,0,$C$1),OFFSET(Scenarios!$A$7,0,$C$1)),MAX(J$215-OFFSET(Scenarios!$A$13,0,$C$1),OFFSET(Scenarios!$A$7,0,$C$1)))</f>
        <v>0.02220718187455928</v>
      </c>
      <c r="L215" s="343">
        <f ca="1">IF(K$215&lt;OFFSET(Scenarios!$A$7,0,$C$1),MIN(K$215+OFFSET(Scenarios!$A$13,0,$C$1),OFFSET(Scenarios!$A$7,0,$C$1)),MAX(K$215-OFFSET(Scenarios!$A$13,0,$C$1),OFFSET(Scenarios!$A$7,0,$C$1)))</f>
        <v>0.020207181874559277</v>
      </c>
      <c r="M215" s="343">
        <f ca="1">IF(L$215&lt;OFFSET(Scenarios!$A$7,0,$C$1),MIN(L$215+OFFSET(Scenarios!$A$13,0,$C$1),OFFSET(Scenarios!$A$7,0,$C$1)),MAX(L$215-OFFSET(Scenarios!$A$13,0,$C$1),OFFSET(Scenarios!$A$7,0,$C$1)))</f>
        <v>0.02</v>
      </c>
      <c r="N215" s="343">
        <f ca="1">IF(M$215&lt;OFFSET(Scenarios!$A$7,0,$C$1),MIN(M$215+OFFSET(Scenarios!$A$13,0,$C$1),OFFSET(Scenarios!$A$7,0,$C$1)),MAX(M$215-OFFSET(Scenarios!$A$13,0,$C$1),OFFSET(Scenarios!$A$7,0,$C$1)))</f>
        <v>0.02</v>
      </c>
      <c r="O215" s="343">
        <f ca="1">IF(N$215&lt;OFFSET(Scenarios!$A$7,0,$C$1),MIN(N$215+OFFSET(Scenarios!$A$13,0,$C$1),OFFSET(Scenarios!$A$7,0,$C$1)),MAX(N$215-OFFSET(Scenarios!$A$13,0,$C$1),OFFSET(Scenarios!$A$7,0,$C$1)))</f>
        <v>0.02</v>
      </c>
      <c r="P215" s="343">
        <f ca="1">IF(O$215&lt;OFFSET(Scenarios!$A$7,0,$C$1),MIN(O$215+OFFSET(Scenarios!$A$13,0,$C$1),OFFSET(Scenarios!$A$7,0,$C$1)),MAX(O$215-OFFSET(Scenarios!$A$13,0,$C$1),OFFSET(Scenarios!$A$7,0,$C$1)))</f>
        <v>0.02</v>
      </c>
      <c r="Q215" s="343">
        <f ca="1">IF(P$215&lt;OFFSET(Scenarios!$A$7,0,$C$1),MIN(P$215+OFFSET(Scenarios!$A$13,0,$C$1),OFFSET(Scenarios!$A$7,0,$C$1)),MAX(P$215-OFFSET(Scenarios!$A$13,0,$C$1),OFFSET(Scenarios!$A$7,0,$C$1)))</f>
        <v>0.02</v>
      </c>
      <c r="R215" s="343">
        <f ca="1">IF(Q$215&lt;OFFSET(Scenarios!$A$7,0,$C$1),MIN(Q$215+OFFSET(Scenarios!$A$13,0,$C$1),OFFSET(Scenarios!$A$7,0,$C$1)),MAX(Q$215-OFFSET(Scenarios!$A$13,0,$C$1),OFFSET(Scenarios!$A$7,0,$C$1)))</f>
        <v>0.02</v>
      </c>
      <c r="S215" s="343">
        <f ca="1">IF(R$215&lt;OFFSET(Scenarios!$A$7,0,$C$1),MIN(R$215+OFFSET(Scenarios!$A$13,0,$C$1),OFFSET(Scenarios!$A$7,0,$C$1)),MAX(R$215-OFFSET(Scenarios!$A$13,0,$C$1),OFFSET(Scenarios!$A$7,0,$C$1)))</f>
        <v>0.02</v>
      </c>
      <c r="T215" s="343">
        <f ca="1">IF(S$215&lt;OFFSET(Scenarios!$A$7,0,$C$1),MIN(S$215+OFFSET(Scenarios!$A$13,0,$C$1),OFFSET(Scenarios!$A$7,0,$C$1)),MAX(S$215-OFFSET(Scenarios!$A$13,0,$C$1),OFFSET(Scenarios!$A$7,0,$C$1)))</f>
        <v>0.02</v>
      </c>
      <c r="U215" s="343"/>
    </row>
    <row r="216" spans="1:21" s="108" customFormat="1" ht="12.75">
      <c r="A216" s="50" t="s">
        <v>483</v>
      </c>
      <c r="C216" s="251"/>
      <c r="D216" s="247">
        <f>D$211/D$209*100</f>
        <v>128.2072330916222</v>
      </c>
      <c r="E216" s="247">
        <f>E$211/E$209*100</f>
        <v>133.77915715110962</v>
      </c>
      <c r="F216" s="224">
        <f aca="true" t="shared" si="122" ref="F216:T216">F$211/F$209*100</f>
        <v>136.74710946102508</v>
      </c>
      <c r="G216" s="224">
        <f t="shared" si="122"/>
        <v>138.26593692228292</v>
      </c>
      <c r="H216" s="224">
        <f t="shared" si="122"/>
        <v>140.159714543585</v>
      </c>
      <c r="I216" s="224">
        <f t="shared" si="122"/>
        <v>142.56477705877933</v>
      </c>
      <c r="J216" s="224">
        <f t="shared" si="122"/>
        <v>145.1375269903656</v>
      </c>
      <c r="K216" s="303">
        <f t="shared" si="122"/>
        <v>147.75117631019648</v>
      </c>
      <c r="L216" s="303">
        <f t="shared" si="122"/>
        <v>149.91419845519476</v>
      </c>
      <c r="M216" s="303">
        <f t="shared" si="122"/>
        <v>152.6783495077836</v>
      </c>
      <c r="N216" s="303">
        <f t="shared" si="122"/>
        <v>156.20925310575174</v>
      </c>
      <c r="O216" s="303">
        <f t="shared" si="122"/>
        <v>159.88368719627252</v>
      </c>
      <c r="P216" s="303">
        <f t="shared" si="122"/>
        <v>163.51952034575302</v>
      </c>
      <c r="Q216" s="303">
        <f t="shared" si="122"/>
        <v>167.1260788482218</v>
      </c>
      <c r="R216" s="303">
        <f t="shared" si="122"/>
        <v>170.7140892139906</v>
      </c>
      <c r="S216" s="303">
        <f t="shared" si="122"/>
        <v>174.31226532934946</v>
      </c>
      <c r="T216" s="303">
        <f t="shared" si="122"/>
        <v>177.79851063593648</v>
      </c>
      <c r="U216" s="374"/>
    </row>
    <row r="217" spans="1:21" s="108" customFormat="1" ht="12.75">
      <c r="A217" s="231" t="s">
        <v>583</v>
      </c>
      <c r="C217" s="251"/>
      <c r="D217" s="166"/>
      <c r="E217" s="166"/>
      <c r="F217" s="168">
        <f aca="true" t="shared" si="123" ref="F217:T217">F216/E216-1</f>
        <v>0.022185461271541973</v>
      </c>
      <c r="G217" s="168">
        <f t="shared" si="123"/>
        <v>0.011106834120619746</v>
      </c>
      <c r="H217" s="168">
        <f t="shared" si="123"/>
        <v>0.013696631747894372</v>
      </c>
      <c r="I217" s="168">
        <f t="shared" si="123"/>
        <v>0.01715944216229426</v>
      </c>
      <c r="J217" s="168">
        <f t="shared" si="123"/>
        <v>0.018046182126217003</v>
      </c>
      <c r="K217" s="167">
        <f t="shared" si="123"/>
        <v>0.018008087736016032</v>
      </c>
      <c r="L217" s="167">
        <f t="shared" si="123"/>
        <v>0.014639627236923802</v>
      </c>
      <c r="M217" s="167">
        <f t="shared" si="123"/>
        <v>0.01843822053596189</v>
      </c>
      <c r="N217" s="167">
        <f t="shared" si="123"/>
        <v>0.023126419753366045</v>
      </c>
      <c r="O217" s="167">
        <f t="shared" si="123"/>
        <v>0.02352251238300984</v>
      </c>
      <c r="P217" s="167">
        <f t="shared" si="123"/>
        <v>0.022740488496598044</v>
      </c>
      <c r="Q217" s="167">
        <f t="shared" si="123"/>
        <v>0.022055828532537847</v>
      </c>
      <c r="R217" s="167">
        <f t="shared" si="123"/>
        <v>0.02146888379417633</v>
      </c>
      <c r="S217" s="167">
        <f t="shared" si="123"/>
        <v>0.021077206526571635</v>
      </c>
      <c r="T217" s="167">
        <f t="shared" si="123"/>
        <v>0.02000000000000024</v>
      </c>
      <c r="U217" s="167"/>
    </row>
    <row r="218" spans="1:21" ht="12.75">
      <c r="A218" s="50" t="s">
        <v>603</v>
      </c>
      <c r="D218" s="166">
        <f>Data!C$208</f>
        <v>0.06313433333333333</v>
      </c>
      <c r="E218" s="166">
        <f>Data!D$208</f>
        <v>0.06440033333333334</v>
      </c>
      <c r="F218" s="168">
        <f ca="1">IF($F$1="Yes",OFFSET(ReadyReckoner!$A$37,0,F$262),Data!E$208)</f>
        <v>0.063</v>
      </c>
      <c r="G218" s="168">
        <f ca="1">IF($F$1="Yes",OFFSET(ReadyReckoner!$A$37,0,G$262),Data!F$208)</f>
        <v>0.063</v>
      </c>
      <c r="H218" s="168">
        <f ca="1">IF($F$1="Yes",OFFSET(ReadyReckoner!$A$37,0,H$262),Data!G$208)</f>
        <v>0.062</v>
      </c>
      <c r="I218" s="168">
        <f ca="1">IF($F$1="Yes",OFFSET(ReadyReckoner!$A$37,0,I$262),Data!H$208)</f>
        <v>0.0605</v>
      </c>
      <c r="J218" s="168">
        <f ca="1">IF($F$1="Yes",OFFSET(ReadyReckoner!$A$37,0,J$262),Data!I$208)</f>
        <v>0.06</v>
      </c>
      <c r="K218" s="167">
        <f ca="1">IF(J$218&lt;OFFSET(Scenarios!$A$8,0,$C$1),MIN(J$218+OFFSET(Scenarios!$A$14,0,$C$1),OFFSET(Scenarios!$A$8,0,$C$1)),MAX(J$218-OFFSET(Scenarios!$A$14,0,$C$1),OFFSET(Scenarios!$A$8,0,$C$1)))</f>
        <v>0.06</v>
      </c>
      <c r="L218" s="167">
        <f ca="1">IF(K$218&lt;OFFSET(Scenarios!$A$8,0,$C$1),MIN(K$218+OFFSET(Scenarios!$A$14,0,$C$1),OFFSET(Scenarios!$A$8,0,$C$1)),MAX(K$218-OFFSET(Scenarios!$A$14,0,$C$1),OFFSET(Scenarios!$A$8,0,$C$1)))</f>
        <v>0.06</v>
      </c>
      <c r="M218" s="167">
        <f ca="1">IF(L$218&lt;OFFSET(Scenarios!$A$8,0,$C$1),MIN(L$218+OFFSET(Scenarios!$A$14,0,$C$1),OFFSET(Scenarios!$A$8,0,$C$1)),MAX(L$218-OFFSET(Scenarios!$A$14,0,$C$1),OFFSET(Scenarios!$A$8,0,$C$1)))</f>
        <v>0.06</v>
      </c>
      <c r="N218" s="167">
        <f ca="1">IF(M$218&lt;OFFSET(Scenarios!$A$8,0,$C$1),MIN(M$218+OFFSET(Scenarios!$A$14,0,$C$1),OFFSET(Scenarios!$A$8,0,$C$1)),MAX(M$218-OFFSET(Scenarios!$A$14,0,$C$1),OFFSET(Scenarios!$A$8,0,$C$1)))</f>
        <v>0.06</v>
      </c>
      <c r="O218" s="167">
        <f ca="1">IF(N$218&lt;OFFSET(Scenarios!$A$8,0,$C$1),MIN(N$218+OFFSET(Scenarios!$A$14,0,$C$1),OFFSET(Scenarios!$A$8,0,$C$1)),MAX(N$218-OFFSET(Scenarios!$A$14,0,$C$1),OFFSET(Scenarios!$A$8,0,$C$1)))</f>
        <v>0.06</v>
      </c>
      <c r="P218" s="167">
        <f ca="1">IF(O$218&lt;OFFSET(Scenarios!$A$8,0,$C$1),MIN(O$218+OFFSET(Scenarios!$A$14,0,$C$1),OFFSET(Scenarios!$A$8,0,$C$1)),MAX(O$218-OFFSET(Scenarios!$A$14,0,$C$1),OFFSET(Scenarios!$A$8,0,$C$1)))</f>
        <v>0.06</v>
      </c>
      <c r="Q218" s="167">
        <f ca="1">IF(P$218&lt;OFFSET(Scenarios!$A$8,0,$C$1),MIN(P$218+OFFSET(Scenarios!$A$14,0,$C$1),OFFSET(Scenarios!$A$8,0,$C$1)),MAX(P$218-OFFSET(Scenarios!$A$14,0,$C$1),OFFSET(Scenarios!$A$8,0,$C$1)))</f>
        <v>0.06</v>
      </c>
      <c r="R218" s="167">
        <f ca="1">IF(Q$218&lt;OFFSET(Scenarios!$A$8,0,$C$1),MIN(Q$218+OFFSET(Scenarios!$A$14,0,$C$1),OFFSET(Scenarios!$A$8,0,$C$1)),MAX(Q$218-OFFSET(Scenarios!$A$14,0,$C$1),OFFSET(Scenarios!$A$8,0,$C$1)))</f>
        <v>0.06</v>
      </c>
      <c r="S218" s="167">
        <f ca="1">IF(R$218&lt;OFFSET(Scenarios!$A$8,0,$C$1),MIN(R$218+OFFSET(Scenarios!$A$14,0,$C$1),OFFSET(Scenarios!$A$8,0,$C$1)),MAX(R$218-OFFSET(Scenarios!$A$14,0,$C$1),OFFSET(Scenarios!$A$8,0,$C$1)))</f>
        <v>0.06</v>
      </c>
      <c r="T218" s="167">
        <f ca="1">IF(S$218&lt;OFFSET(Scenarios!$A$8,0,$C$1),MIN(S$218+OFFSET(Scenarios!$A$14,0,$C$1),OFFSET(Scenarios!$A$8,0,$C$1)),MAX(S$218-OFFSET(Scenarios!$A$14,0,$C$1),OFFSET(Scenarios!$A$8,0,$C$1)))</f>
        <v>0.06</v>
      </c>
      <c r="U218" s="167"/>
    </row>
    <row r="219" spans="1:21" ht="12.75">
      <c r="A219" s="51" t="s">
        <v>572</v>
      </c>
      <c r="D219" s="251"/>
      <c r="E219" s="251"/>
      <c r="F219" s="175"/>
      <c r="G219" s="175"/>
      <c r="H219" s="175"/>
      <c r="I219" s="175"/>
      <c r="J219" s="175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</row>
    <row r="220" spans="1:20" ht="12.75">
      <c r="A220" s="50" t="s">
        <v>661</v>
      </c>
      <c r="D220" s="99">
        <f>SUM(Popn!D$24:D$99,Popn!D$118:D$193)/1000000</f>
        <v>3.33918</v>
      </c>
      <c r="E220" s="99">
        <f>SUM(Popn!E$24:E$99,Popn!E$118:E$193)/1000000</f>
        <v>3.37897</v>
      </c>
      <c r="F220" s="173">
        <f>SUM(Popn!F$24:F$99,Popn!F$118:F$193)/1000000</f>
        <v>3.4188</v>
      </c>
      <c r="G220" s="173">
        <f>SUM(Popn!G$24:G$99,Popn!G$118:G$193)/1000000</f>
        <v>3.45933</v>
      </c>
      <c r="H220" s="173">
        <f>SUM(Popn!H$24:H$99,Popn!H$118:H$193)/1000000</f>
        <v>3.49865</v>
      </c>
      <c r="I220" s="173">
        <f>SUM(Popn!I$24:I$99,Popn!I$118:I$193)/1000000</f>
        <v>3.53589</v>
      </c>
      <c r="J220" s="173">
        <f>SUM(Popn!J$24:J$99,Popn!J$118:J$193)/1000000</f>
        <v>3.57297</v>
      </c>
      <c r="K220" s="104">
        <f>SUM(Popn!K$24:K$99,Popn!K$118:K$193)/1000000</f>
        <v>3.60878</v>
      </c>
      <c r="L220" s="104">
        <f>SUM(Popn!L$24:L$99,Popn!L$118:L$193)/1000000</f>
        <v>3.64608</v>
      </c>
      <c r="M220" s="104">
        <f>SUM(Popn!M$24:M$99,Popn!M$118:M$193)/1000000</f>
        <v>3.68204</v>
      </c>
      <c r="N220" s="104">
        <f>SUM(Popn!N$24:N$99,Popn!N$118:N$193)/1000000</f>
        <v>3.71544</v>
      </c>
      <c r="O220" s="104">
        <f>SUM(Popn!O$24:O$99,Popn!O$118:O$193)/1000000</f>
        <v>3.74897</v>
      </c>
      <c r="P220" s="104">
        <f>SUM(Popn!P$24:P$99,Popn!P$118:P$193)/1000000</f>
        <v>3.78362</v>
      </c>
      <c r="Q220" s="104">
        <f>SUM(Popn!Q$24:Q$99,Popn!Q$118:Q$193)/1000000</f>
        <v>3.81774</v>
      </c>
      <c r="R220" s="104">
        <f>SUM(Popn!R$24:R$99,Popn!R$118:R$193)/1000000</f>
        <v>3.85323</v>
      </c>
      <c r="S220" s="104">
        <f>SUM(Popn!S$24:S$99,Popn!S$118:S$193)/1000000</f>
        <v>3.89066</v>
      </c>
      <c r="T220" s="104">
        <f>SUM(Popn!T$24:T$99,Popn!T$118:T$193)/1000000</f>
        <v>3.92786</v>
      </c>
    </row>
    <row r="221" spans="1:21" ht="12.75">
      <c r="A221" s="231" t="s">
        <v>583</v>
      </c>
      <c r="D221" s="166"/>
      <c r="E221" s="166"/>
      <c r="F221" s="168">
        <f aca="true" t="shared" si="124" ref="F221:S221">F$220/E$220-1</f>
        <v>0.011787615752729463</v>
      </c>
      <c r="G221" s="168">
        <f t="shared" si="124"/>
        <v>0.011855036855036749</v>
      </c>
      <c r="H221" s="168">
        <f t="shared" si="124"/>
        <v>0.011366362850609768</v>
      </c>
      <c r="I221" s="168">
        <f t="shared" si="124"/>
        <v>0.010644105583582197</v>
      </c>
      <c r="J221" s="168">
        <f t="shared" si="124"/>
        <v>0.010486751567497787</v>
      </c>
      <c r="K221" s="167">
        <f t="shared" si="124"/>
        <v>0.010022474300092066</v>
      </c>
      <c r="L221" s="167">
        <f t="shared" si="124"/>
        <v>0.010335902992147039</v>
      </c>
      <c r="M221" s="167">
        <f t="shared" si="124"/>
        <v>0.009862647007196745</v>
      </c>
      <c r="N221" s="167">
        <f t="shared" si="124"/>
        <v>0.009071058434998003</v>
      </c>
      <c r="O221" s="167">
        <f t="shared" si="124"/>
        <v>0.009024503154404284</v>
      </c>
      <c r="P221" s="167">
        <f t="shared" si="124"/>
        <v>0.009242538617273643</v>
      </c>
      <c r="Q221" s="167">
        <f t="shared" si="124"/>
        <v>0.009017818914161646</v>
      </c>
      <c r="R221" s="167">
        <f t="shared" si="124"/>
        <v>0.00929607568875812</v>
      </c>
      <c r="S221" s="167">
        <f t="shared" si="124"/>
        <v>0.00971392831468676</v>
      </c>
      <c r="T221" s="167">
        <f>T$220/S$220-1</f>
        <v>0.00956135976929362</v>
      </c>
      <c r="U221" s="167"/>
    </row>
    <row r="222" spans="1:20" ht="12.75">
      <c r="A222" s="50" t="s">
        <v>662</v>
      </c>
      <c r="D222" s="99">
        <f>Data!C$209</f>
        <v>2.2168</v>
      </c>
      <c r="E222" s="99">
        <f>Data!D$209</f>
        <v>2.2395</v>
      </c>
      <c r="F222" s="170">
        <f>Data!E$209</f>
        <v>2.2595</v>
      </c>
      <c r="G222" s="170">
        <f>Data!F$209</f>
        <v>2.2726</v>
      </c>
      <c r="H222" s="170">
        <f>Data!G$209</f>
        <v>2.2874</v>
      </c>
      <c r="I222" s="170">
        <f>Data!H$209</f>
        <v>2.3119</v>
      </c>
      <c r="J222" s="170">
        <f>Data!I$209</f>
        <v>2.3438</v>
      </c>
      <c r="K222" s="104">
        <f>Popn!K$259</f>
        <v>2.365859896142476</v>
      </c>
      <c r="L222" s="104">
        <f>Popn!L$259</f>
        <v>2.3885610879438786</v>
      </c>
      <c r="M222" s="104">
        <f>Popn!M$259</f>
        <v>2.41085219499553</v>
      </c>
      <c r="N222" s="104">
        <f>Popn!N$259</f>
        <v>2.431124698340769</v>
      </c>
      <c r="O222" s="104">
        <f>Popn!O$259</f>
        <v>2.4478858701167523</v>
      </c>
      <c r="P222" s="104">
        <f>Popn!P$259</f>
        <v>2.4640820844903426</v>
      </c>
      <c r="Q222" s="104">
        <f>Popn!Q$259</f>
        <v>2.4798278571261894</v>
      </c>
      <c r="R222" s="104">
        <f>Popn!R$259</f>
        <v>2.4949354378726194</v>
      </c>
      <c r="S222" s="104">
        <f>Popn!S$259</f>
        <v>2.510076620587723</v>
      </c>
      <c r="T222" s="104">
        <f>Popn!T$259</f>
        <v>2.524064132370653</v>
      </c>
    </row>
    <row r="223" spans="1:21" ht="12.75">
      <c r="A223" s="231" t="s">
        <v>583</v>
      </c>
      <c r="D223" s="166"/>
      <c r="E223" s="166"/>
      <c r="F223" s="168">
        <f aca="true" t="shared" si="125" ref="F223:S223">F$222/E$222-1</f>
        <v>0.008930564858227186</v>
      </c>
      <c r="G223" s="168">
        <f t="shared" si="125"/>
        <v>0.00579774286346546</v>
      </c>
      <c r="H223" s="168">
        <f t="shared" si="125"/>
        <v>0.0065123646924225564</v>
      </c>
      <c r="I223" s="168">
        <f t="shared" si="125"/>
        <v>0.01071085074757372</v>
      </c>
      <c r="J223" s="168">
        <f t="shared" si="125"/>
        <v>0.013798174661533658</v>
      </c>
      <c r="K223" s="167">
        <f t="shared" si="125"/>
        <v>0.009412021564329853</v>
      </c>
      <c r="L223" s="167">
        <f t="shared" si="125"/>
        <v>0.009595323813728962</v>
      </c>
      <c r="M223" s="167">
        <f t="shared" si="125"/>
        <v>0.009332441679706038</v>
      </c>
      <c r="N223" s="167">
        <f t="shared" si="125"/>
        <v>0.008408853677268402</v>
      </c>
      <c r="O223" s="167">
        <f t="shared" si="125"/>
        <v>0.0068944105530344135</v>
      </c>
      <c r="P223" s="167">
        <f t="shared" si="125"/>
        <v>0.006616409110943522</v>
      </c>
      <c r="Q223" s="167">
        <f t="shared" si="125"/>
        <v>0.0063901169262807755</v>
      </c>
      <c r="R223" s="167">
        <f t="shared" si="125"/>
        <v>0.006092189303792184</v>
      </c>
      <c r="S223" s="167">
        <f t="shared" si="125"/>
        <v>0.00606876734574513</v>
      </c>
      <c r="T223" s="167">
        <f>T$222/S$222-1</f>
        <v>0.005572543749542858</v>
      </c>
      <c r="U223" s="167"/>
    </row>
    <row r="224" spans="1:21" ht="12.75">
      <c r="A224" s="50" t="s">
        <v>585</v>
      </c>
      <c r="D224" s="166">
        <f aca="true" t="shared" si="126" ref="D224:T224">D$222/D$220</f>
        <v>0.6638755622637894</v>
      </c>
      <c r="E224" s="166">
        <f t="shared" si="126"/>
        <v>0.6627759346783192</v>
      </c>
      <c r="F224" s="168">
        <f t="shared" si="126"/>
        <v>0.6609044109044109</v>
      </c>
      <c r="G224" s="168">
        <f t="shared" si="126"/>
        <v>0.6569480217267506</v>
      </c>
      <c r="H224" s="168">
        <f t="shared" si="126"/>
        <v>0.6537950352278735</v>
      </c>
      <c r="I224" s="168">
        <f t="shared" si="126"/>
        <v>0.6538382132928343</v>
      </c>
      <c r="J224" s="168">
        <f t="shared" si="126"/>
        <v>0.6559808786527734</v>
      </c>
      <c r="K224" s="167">
        <f t="shared" si="126"/>
        <v>0.6555844069581621</v>
      </c>
      <c r="L224" s="167">
        <f t="shared" si="126"/>
        <v>0.6551038616661945</v>
      </c>
      <c r="M224" s="167">
        <f t="shared" si="126"/>
        <v>0.6547599143397491</v>
      </c>
      <c r="N224" s="167">
        <f t="shared" si="126"/>
        <v>0.6543302269289152</v>
      </c>
      <c r="O224" s="167">
        <f t="shared" si="126"/>
        <v>0.6529489086647139</v>
      </c>
      <c r="P224" s="167">
        <f t="shared" si="126"/>
        <v>0.6512498835745509</v>
      </c>
      <c r="Q224" s="167">
        <f t="shared" si="126"/>
        <v>0.649553887149515</v>
      </c>
      <c r="R224" s="167">
        <f t="shared" si="126"/>
        <v>0.6474919581422909</v>
      </c>
      <c r="S224" s="167">
        <f t="shared" si="126"/>
        <v>0.6451544520949462</v>
      </c>
      <c r="T224" s="167">
        <f t="shared" si="126"/>
        <v>0.6426054218762006</v>
      </c>
      <c r="U224" s="167"/>
    </row>
    <row r="225" spans="1:21" ht="12.75">
      <c r="A225" s="50" t="s">
        <v>558</v>
      </c>
      <c r="D225" s="166">
        <f>Data!C$210</f>
        <v>0.037</v>
      </c>
      <c r="E225" s="166">
        <f>Data!D$210</f>
        <v>0.036</v>
      </c>
      <c r="F225" s="168">
        <f ca="1">IF($F$1="Yes",OFFSET(ReadyReckoner!$A$38,0,F$262),Data!E$210)</f>
        <v>0.043</v>
      </c>
      <c r="G225" s="168">
        <f ca="1">IF($F$1="Yes",OFFSET(ReadyReckoner!$A$38,0,G$262),Data!F$210)</f>
        <v>0.05</v>
      </c>
      <c r="H225" s="168">
        <f ca="1">IF($F$1="Yes",OFFSET(ReadyReckoner!$A$38,0,H$262),Data!G$210)</f>
        <v>0.051</v>
      </c>
      <c r="I225" s="168">
        <f ca="1">IF($F$1="Yes",OFFSET(ReadyReckoner!$A$38,0,I$262),Data!H$210)</f>
        <v>0.049</v>
      </c>
      <c r="J225" s="168">
        <f ca="1">IF($F$1="Yes",OFFSET(ReadyReckoner!$A$38,0,J$262),Data!I$210)</f>
        <v>0.046</v>
      </c>
      <c r="K225" s="167">
        <f ca="1">IF(J$225&lt;OFFSET(Scenarios!$A$9,0,$C$1),MIN(J$225+OFFSET(Scenarios!$A$15,0,$C$1),OFFSET(Scenarios!$A$9,0,$C$1)),MAX(J$225-OFFSET(Scenarios!$A$15,0,$C$1),OFFSET(Scenarios!$A$9,0,$C$1)))</f>
        <v>0.046</v>
      </c>
      <c r="L225" s="167">
        <f ca="1">IF(K$225&lt;OFFSET(Scenarios!$A$9,0,$C$1),MIN(K$225+OFFSET(Scenarios!$A$15,0,$C$1),OFFSET(Scenarios!$A$9,0,$C$1)),MAX(K$225-OFFSET(Scenarios!$A$15,0,$C$1),OFFSET(Scenarios!$A$9,0,$C$1)))</f>
        <v>0.046</v>
      </c>
      <c r="M225" s="167">
        <f ca="1">IF(L$225&lt;OFFSET(Scenarios!$A$9,0,$C$1),MIN(L$225+OFFSET(Scenarios!$A$15,0,$C$1),OFFSET(Scenarios!$A$9,0,$C$1)),MAX(L$225-OFFSET(Scenarios!$A$15,0,$C$1),OFFSET(Scenarios!$A$9,0,$C$1)))</f>
        <v>0.046</v>
      </c>
      <c r="N225" s="167">
        <f ca="1">IF(M$225&lt;OFFSET(Scenarios!$A$9,0,$C$1),MIN(M$225+OFFSET(Scenarios!$A$15,0,$C$1),OFFSET(Scenarios!$A$9,0,$C$1)),MAX(M$225-OFFSET(Scenarios!$A$15,0,$C$1),OFFSET(Scenarios!$A$9,0,$C$1)))</f>
        <v>0.046</v>
      </c>
      <c r="O225" s="167">
        <f ca="1">IF(N$225&lt;OFFSET(Scenarios!$A$9,0,$C$1),MIN(N$225+OFFSET(Scenarios!$A$15,0,$C$1),OFFSET(Scenarios!$A$9,0,$C$1)),MAX(N$225-OFFSET(Scenarios!$A$15,0,$C$1),OFFSET(Scenarios!$A$9,0,$C$1)))</f>
        <v>0.046</v>
      </c>
      <c r="P225" s="167">
        <f ca="1">IF(O$225&lt;OFFSET(Scenarios!$A$9,0,$C$1),MIN(O$225+OFFSET(Scenarios!$A$15,0,$C$1),OFFSET(Scenarios!$A$9,0,$C$1)),MAX(O$225-OFFSET(Scenarios!$A$15,0,$C$1),OFFSET(Scenarios!$A$9,0,$C$1)))</f>
        <v>0.046</v>
      </c>
      <c r="Q225" s="167">
        <f ca="1">IF(P$225&lt;OFFSET(Scenarios!$A$9,0,$C$1),MIN(P$225+OFFSET(Scenarios!$A$15,0,$C$1),OFFSET(Scenarios!$A$9,0,$C$1)),MAX(P$225-OFFSET(Scenarios!$A$15,0,$C$1),OFFSET(Scenarios!$A$9,0,$C$1)))</f>
        <v>0.046</v>
      </c>
      <c r="R225" s="167">
        <f ca="1">IF(Q$225&lt;OFFSET(Scenarios!$A$9,0,$C$1),MIN(Q$225+OFFSET(Scenarios!$A$15,0,$C$1),OFFSET(Scenarios!$A$9,0,$C$1)),MAX(Q$225-OFFSET(Scenarios!$A$15,0,$C$1),OFFSET(Scenarios!$A$9,0,$C$1)))</f>
        <v>0.046</v>
      </c>
      <c r="S225" s="167">
        <f ca="1">IF(R$225&lt;OFFSET(Scenarios!$A$9,0,$C$1),MIN(R$225+OFFSET(Scenarios!$A$15,0,$C$1),OFFSET(Scenarios!$A$9,0,$C$1)),MAX(R$225-OFFSET(Scenarios!$A$15,0,$C$1),OFFSET(Scenarios!$A$9,0,$C$1)))</f>
        <v>0.046</v>
      </c>
      <c r="T225" s="167">
        <f ca="1">IF(S$225&lt;OFFSET(Scenarios!$A$9,0,$C$1),MIN(S$225+OFFSET(Scenarios!$A$15,0,$C$1),OFFSET(Scenarios!$A$9,0,$C$1)),MAX(S$225-OFFSET(Scenarios!$A$15,0,$C$1),OFFSET(Scenarios!$A$9,0,$C$1)))</f>
        <v>0.046</v>
      </c>
      <c r="U225" s="167"/>
    </row>
    <row r="226" spans="1:20" ht="12.75">
      <c r="A226" s="50" t="s">
        <v>475</v>
      </c>
      <c r="D226" s="99">
        <f aca="true" t="shared" si="127" ref="D226:T226">D$222*(1-D$225)</f>
        <v>2.1347784</v>
      </c>
      <c r="E226" s="99">
        <f t="shared" si="127"/>
        <v>2.158878</v>
      </c>
      <c r="F226" s="170">
        <f t="shared" si="127"/>
        <v>2.1623415</v>
      </c>
      <c r="G226" s="170">
        <f t="shared" si="127"/>
        <v>2.15897</v>
      </c>
      <c r="H226" s="170">
        <f t="shared" si="127"/>
        <v>2.1707425999999996</v>
      </c>
      <c r="I226" s="170">
        <f t="shared" si="127"/>
        <v>2.1986168999999998</v>
      </c>
      <c r="J226" s="170">
        <f t="shared" si="127"/>
        <v>2.2359852</v>
      </c>
      <c r="K226" s="104">
        <f t="shared" si="127"/>
        <v>2.257030340919922</v>
      </c>
      <c r="L226" s="104">
        <f t="shared" si="127"/>
        <v>2.27868727789846</v>
      </c>
      <c r="M226" s="104">
        <f t="shared" si="127"/>
        <v>2.2999529940257357</v>
      </c>
      <c r="N226" s="104">
        <f t="shared" si="127"/>
        <v>2.3192929622170935</v>
      </c>
      <c r="O226" s="104">
        <f t="shared" si="127"/>
        <v>2.3352831200913817</v>
      </c>
      <c r="P226" s="104">
        <f t="shared" si="127"/>
        <v>2.3507343086037866</v>
      </c>
      <c r="Q226" s="104">
        <f t="shared" si="127"/>
        <v>2.3657557756983847</v>
      </c>
      <c r="R226" s="104">
        <f t="shared" si="127"/>
        <v>2.380168407730479</v>
      </c>
      <c r="S226" s="104">
        <f t="shared" si="127"/>
        <v>2.394613096040688</v>
      </c>
      <c r="T226" s="104">
        <f t="shared" si="127"/>
        <v>2.407957182281603</v>
      </c>
    </row>
    <row r="227" spans="1:21" ht="12.75">
      <c r="A227" s="231" t="s">
        <v>583</v>
      </c>
      <c r="D227" s="166"/>
      <c r="E227" s="166"/>
      <c r="F227" s="168">
        <f aca="true" t="shared" si="128" ref="F227:S227">F$226/E$226-1</f>
        <v>0.001604305569837594</v>
      </c>
      <c r="G227" s="168">
        <f t="shared" si="128"/>
        <v>-0.0015591894249821214</v>
      </c>
      <c r="H227" s="168">
        <f t="shared" si="128"/>
        <v>0.005452877992746297</v>
      </c>
      <c r="I227" s="168">
        <f t="shared" si="128"/>
        <v>0.01284090522754755</v>
      </c>
      <c r="J227" s="168">
        <f t="shared" si="128"/>
        <v>0.01699627615888888</v>
      </c>
      <c r="K227" s="167">
        <f t="shared" si="128"/>
        <v>0.009412021564329631</v>
      </c>
      <c r="L227" s="167">
        <f t="shared" si="128"/>
        <v>0.009595323813729184</v>
      </c>
      <c r="M227" s="167">
        <f t="shared" si="128"/>
        <v>0.00933244167970626</v>
      </c>
      <c r="N227" s="167">
        <f t="shared" si="128"/>
        <v>0.008408853677268402</v>
      </c>
      <c r="O227" s="167">
        <f t="shared" si="128"/>
        <v>0.006894410553034636</v>
      </c>
      <c r="P227" s="167">
        <f t="shared" si="128"/>
        <v>0.0066164091109433</v>
      </c>
      <c r="Q227" s="167">
        <f t="shared" si="128"/>
        <v>0.0063901169262807755</v>
      </c>
      <c r="R227" s="167">
        <f t="shared" si="128"/>
        <v>0.006092189303792184</v>
      </c>
      <c r="S227" s="167">
        <f t="shared" si="128"/>
        <v>0.00606876734574513</v>
      </c>
      <c r="T227" s="167">
        <f>T$226/S$226-1</f>
        <v>0.005572543749542858</v>
      </c>
      <c r="U227" s="167"/>
    </row>
    <row r="228" spans="1:21" ht="12.75">
      <c r="A228" s="50" t="s">
        <v>559</v>
      </c>
      <c r="D228" s="252">
        <f>Data!C$211</f>
        <v>38.1</v>
      </c>
      <c r="E228" s="252">
        <f>Data!D$211</f>
        <v>38</v>
      </c>
      <c r="F228" s="176">
        <f>Data!E$211</f>
        <v>37.9</v>
      </c>
      <c r="G228" s="176">
        <f>Data!F$211</f>
        <v>37.9</v>
      </c>
      <c r="H228" s="176">
        <f>Data!G$211</f>
        <v>37.9</v>
      </c>
      <c r="I228" s="176">
        <f>Data!H$211</f>
        <v>37.9</v>
      </c>
      <c r="J228" s="176">
        <f>Data!I$211</f>
        <v>37.9</v>
      </c>
      <c r="K228" s="196">
        <f aca="true" t="shared" si="129" ref="K228:S228">J$228</f>
        <v>37.9</v>
      </c>
      <c r="L228" s="196">
        <f t="shared" si="129"/>
        <v>37.9</v>
      </c>
      <c r="M228" s="196">
        <f t="shared" si="129"/>
        <v>37.9</v>
      </c>
      <c r="N228" s="196">
        <f t="shared" si="129"/>
        <v>37.9</v>
      </c>
      <c r="O228" s="196">
        <f t="shared" si="129"/>
        <v>37.9</v>
      </c>
      <c r="P228" s="196">
        <f t="shared" si="129"/>
        <v>37.9</v>
      </c>
      <c r="Q228" s="196">
        <f t="shared" si="129"/>
        <v>37.9</v>
      </c>
      <c r="R228" s="196">
        <f t="shared" si="129"/>
        <v>37.9</v>
      </c>
      <c r="S228" s="196">
        <f t="shared" si="129"/>
        <v>37.9</v>
      </c>
      <c r="T228" s="196">
        <f>S$228</f>
        <v>37.9</v>
      </c>
      <c r="U228" s="196"/>
    </row>
    <row r="229" spans="1:21" ht="12.75">
      <c r="A229" s="50" t="s">
        <v>667</v>
      </c>
      <c r="D229" s="166">
        <f>Data!C$213</f>
        <v>0.04717530576587059</v>
      </c>
      <c r="E229" s="166">
        <f>Data!D$213</f>
        <v>0.045050055617352536</v>
      </c>
      <c r="F229" s="168">
        <f ca="1">IF($F$1="Yes",OFFSET(ReadyReckoner!$A$39,0,F$262),Data!E$213)</f>
        <v>0.05373624325715176</v>
      </c>
      <c r="G229" s="168">
        <f ca="1">IF($F$1="Yes",OFFSET(ReadyReckoner!$A$39,0,G$262),Data!F$213)</f>
        <v>0.04090893563117626</v>
      </c>
      <c r="H229" s="168">
        <f ca="1">IF($F$1="Yes",OFFSET(ReadyReckoner!$A$39,0,H$262),Data!G$213)</f>
        <v>0.03980505510908294</v>
      </c>
      <c r="I229" s="168">
        <f ca="1">IF($F$1="Yes",OFFSET(ReadyReckoner!$A$39,0,I$262),Data!H$213)</f>
        <v>0.0373937743803614</v>
      </c>
      <c r="J229" s="168">
        <f ca="1">IF($F$1="Yes",OFFSET(ReadyReckoner!$A$39,0,J$262),Data!I$213)</f>
        <v>0.03474610910742859</v>
      </c>
      <c r="K229" s="167">
        <f aca="true" t="shared" si="130" ref="K229:T229">(1+K$215)*(1+K$230)-1</f>
        <v>0.03754028960267752</v>
      </c>
      <c r="L229" s="167">
        <f t="shared" si="130"/>
        <v>0.03551028960267755</v>
      </c>
      <c r="M229" s="167">
        <f t="shared" si="130"/>
        <v>0.03529999999999989</v>
      </c>
      <c r="N229" s="167">
        <f t="shared" si="130"/>
        <v>0.03529999999999989</v>
      </c>
      <c r="O229" s="167">
        <f t="shared" si="130"/>
        <v>0.03529999999999989</v>
      </c>
      <c r="P229" s="167">
        <f t="shared" si="130"/>
        <v>0.03529999999999989</v>
      </c>
      <c r="Q229" s="167">
        <f t="shared" si="130"/>
        <v>0.03529999999999989</v>
      </c>
      <c r="R229" s="167">
        <f t="shared" si="130"/>
        <v>0.03529999999999989</v>
      </c>
      <c r="S229" s="167">
        <f t="shared" si="130"/>
        <v>0.03529999999999989</v>
      </c>
      <c r="T229" s="167">
        <f t="shared" si="130"/>
        <v>0.03529999999999989</v>
      </c>
      <c r="U229" s="167"/>
    </row>
    <row r="230" spans="1:21" s="108" customFormat="1" ht="12.75">
      <c r="A230" s="50" t="s">
        <v>790</v>
      </c>
      <c r="B230" s="341"/>
      <c r="C230" s="251"/>
      <c r="D230" s="341">
        <f>Data!C$212</f>
        <v>0.006613849658310245</v>
      </c>
      <c r="E230" s="341">
        <f>Data!D$212</f>
        <v>0.015637265146052907</v>
      </c>
      <c r="F230" s="342">
        <f>Data!E$212</f>
        <v>0.0016582884400579978</v>
      </c>
      <c r="G230" s="342">
        <f>Data!F$212</f>
        <v>0.02525068175436629</v>
      </c>
      <c r="H230" s="342">
        <f>Data!G$212</f>
        <v>0.027003236945545295</v>
      </c>
      <c r="I230" s="342">
        <f>Data!H$212</f>
        <v>0.018991748995962343</v>
      </c>
      <c r="J230" s="342">
        <f>Data!I$212</f>
        <v>0.012005309209479398</v>
      </c>
      <c r="K230" s="343">
        <f ca="1">OFFSET(Scenarios!$A$6,0,$C$1)</f>
        <v>0.015</v>
      </c>
      <c r="L230" s="343">
        <f ca="1">OFFSET(Scenarios!$A$6,0,$C$1)</f>
        <v>0.015</v>
      </c>
      <c r="M230" s="343">
        <f ca="1">OFFSET(Scenarios!$A$6,0,$C$1)</f>
        <v>0.015</v>
      </c>
      <c r="N230" s="343">
        <f ca="1">OFFSET(Scenarios!$A$6,0,$C$1)</f>
        <v>0.015</v>
      </c>
      <c r="O230" s="343">
        <f ca="1">OFFSET(Scenarios!$A$6,0,$C$1)</f>
        <v>0.015</v>
      </c>
      <c r="P230" s="343">
        <f ca="1">OFFSET(Scenarios!$A$6,0,$C$1)</f>
        <v>0.015</v>
      </c>
      <c r="Q230" s="343">
        <f ca="1">OFFSET(Scenarios!$A$6,0,$C$1)</f>
        <v>0.015</v>
      </c>
      <c r="R230" s="343">
        <f ca="1">OFFSET(Scenarios!$A$6,0,$C$1)</f>
        <v>0.015</v>
      </c>
      <c r="S230" s="343">
        <f ca="1">OFFSET(Scenarios!$A$6,0,$C$1)</f>
        <v>0.015</v>
      </c>
      <c r="T230" s="343">
        <f ca="1">OFFSET(Scenarios!$A$6,0,$C$1)</f>
        <v>0.015</v>
      </c>
      <c r="U230" s="343"/>
    </row>
    <row r="231" spans="4:10" ht="12.75">
      <c r="D231" s="102"/>
      <c r="E231" s="102"/>
      <c r="J231" s="171"/>
    </row>
    <row r="232" spans="1:10" ht="15.75">
      <c r="A232" s="220" t="s">
        <v>791</v>
      </c>
      <c r="D232" s="102"/>
      <c r="E232" s="454"/>
      <c r="J232" s="171"/>
    </row>
    <row r="233" spans="1:10" ht="12.75">
      <c r="A233" s="46" t="s">
        <v>748</v>
      </c>
      <c r="D233" s="102"/>
      <c r="E233" s="454"/>
      <c r="J233" s="171"/>
    </row>
    <row r="234" spans="1:21" ht="12.75">
      <c r="A234" s="47" t="s">
        <v>640</v>
      </c>
      <c r="D234" s="102"/>
      <c r="E234" s="451">
        <f>Popn!E$201</f>
        <v>0.021150961666255297</v>
      </c>
      <c r="F234" s="407">
        <f>Popn!F$201</f>
        <v>0.02696019188219334</v>
      </c>
      <c r="G234" s="407">
        <f>Popn!G$201</f>
        <v>0.028497456230876406</v>
      </c>
      <c r="H234" s="407">
        <f>Popn!H$201</f>
        <v>0.030647631453870172</v>
      </c>
      <c r="I234" s="407">
        <f>Popn!I$201</f>
        <v>0.0412823666051787</v>
      </c>
      <c r="J234" s="407">
        <f>Popn!J$201</f>
        <v>0.03807102435823828</v>
      </c>
      <c r="K234" s="197">
        <f>Popn!K$201</f>
        <v>0.035063047119426205</v>
      </c>
      <c r="L234" s="197">
        <f>Popn!L$201</f>
        <v>0.03462331119761841</v>
      </c>
      <c r="M234" s="197">
        <f>Popn!M$201</f>
        <v>0.03231375326457431</v>
      </c>
      <c r="N234" s="197">
        <f>Popn!N$201</f>
        <v>0.031802524191358206</v>
      </c>
      <c r="O234" s="197">
        <f>Popn!O$201</f>
        <v>0.0308361500526404</v>
      </c>
      <c r="P234" s="197">
        <f>Popn!P$201</f>
        <v>0.0313516273819443</v>
      </c>
      <c r="Q234" s="197">
        <f>Popn!Q$201</f>
        <v>0.031336729774453786</v>
      </c>
      <c r="R234" s="197">
        <f>Popn!R$201</f>
        <v>0.03221649484536093</v>
      </c>
      <c r="S234" s="197">
        <f>Popn!S$201</f>
        <v>0.031798487185136226</v>
      </c>
      <c r="T234" s="197">
        <f>Popn!T$201</f>
        <v>0.031008303677342752</v>
      </c>
      <c r="U234" s="197"/>
    </row>
    <row r="235" spans="1:21" s="330" customFormat="1" ht="12.75">
      <c r="A235" s="214" t="s">
        <v>709</v>
      </c>
      <c r="C235" s="497"/>
      <c r="D235" s="497"/>
      <c r="E235" s="506">
        <f aca="true" t="shared" si="131" ref="E235:T235">E$215</f>
        <v>0</v>
      </c>
      <c r="F235" s="507">
        <f t="shared" si="131"/>
        <v>0.03408011310084835</v>
      </c>
      <c r="G235" s="507">
        <f t="shared" si="131"/>
        <v>0.022615682868207587</v>
      </c>
      <c r="H235" s="507">
        <f t="shared" si="131"/>
        <v>0.024041598186050894</v>
      </c>
      <c r="I235" s="507">
        <f t="shared" si="131"/>
        <v>0.024530308648100352</v>
      </c>
      <c r="J235" s="507">
        <f t="shared" si="131"/>
        <v>0.02420718187455928</v>
      </c>
      <c r="K235" s="500">
        <f t="shared" si="131"/>
        <v>0.02220718187455928</v>
      </c>
      <c r="L235" s="500">
        <f t="shared" si="131"/>
        <v>0.020207181874559277</v>
      </c>
      <c r="M235" s="500">
        <f t="shared" si="131"/>
        <v>0.02</v>
      </c>
      <c r="N235" s="500">
        <f t="shared" si="131"/>
        <v>0.02</v>
      </c>
      <c r="O235" s="500">
        <f t="shared" si="131"/>
        <v>0.02</v>
      </c>
      <c r="P235" s="500">
        <f t="shared" si="131"/>
        <v>0.02</v>
      </c>
      <c r="Q235" s="500">
        <f t="shared" si="131"/>
        <v>0.02</v>
      </c>
      <c r="R235" s="500">
        <f t="shared" si="131"/>
        <v>0.02</v>
      </c>
      <c r="S235" s="500">
        <f t="shared" si="131"/>
        <v>0.02</v>
      </c>
      <c r="T235" s="500">
        <f t="shared" si="131"/>
        <v>0.02</v>
      </c>
      <c r="U235" s="500"/>
    </row>
    <row r="236" spans="1:21" s="330" customFormat="1" ht="12.75">
      <c r="A236" s="214" t="s">
        <v>641</v>
      </c>
      <c r="C236" s="497"/>
      <c r="D236" s="497"/>
      <c r="E236" s="509">
        <f aca="true" t="shared" si="132" ref="E236:T236">E$73/D$73-(1+E$234+E$235)</f>
        <v>0.0578505067625259</v>
      </c>
      <c r="F236" s="510">
        <f t="shared" si="132"/>
        <v>-0.001568339822453746</v>
      </c>
      <c r="G236" s="510">
        <f t="shared" si="132"/>
        <v>0.020049352872656634</v>
      </c>
      <c r="H236" s="510">
        <f t="shared" si="132"/>
        <v>-0.009000298113359007</v>
      </c>
      <c r="I236" s="510">
        <f t="shared" si="132"/>
        <v>-0.0036567119505268586</v>
      </c>
      <c r="J236" s="510">
        <f t="shared" si="132"/>
        <v>0.005093851638072522</v>
      </c>
      <c r="K236" s="408">
        <f t="shared" si="132"/>
        <v>0.012208712346903239</v>
      </c>
      <c r="L236" s="408">
        <f t="shared" si="132"/>
        <v>0.012249869534850966</v>
      </c>
      <c r="M236" s="408">
        <f t="shared" si="132"/>
        <v>0.012116791887160971</v>
      </c>
      <c r="N236" s="408">
        <f t="shared" si="132"/>
        <v>0.012023445292706825</v>
      </c>
      <c r="O236" s="408">
        <f t="shared" si="132"/>
        <v>0.011914371479291086</v>
      </c>
      <c r="P236" s="408">
        <f t="shared" si="132"/>
        <v>0.011849447207527897</v>
      </c>
      <c r="Q236" s="408">
        <f t="shared" si="132"/>
        <v>0.011766290621530562</v>
      </c>
      <c r="R236" s="408">
        <f t="shared" si="132"/>
        <v>0.01643724226804122</v>
      </c>
      <c r="S236" s="408">
        <f t="shared" si="132"/>
        <v>0.01642248659763501</v>
      </c>
      <c r="T236" s="408">
        <f t="shared" si="132"/>
        <v>0.016394593119809953</v>
      </c>
      <c r="U236" s="408"/>
    </row>
    <row r="237" spans="1:21" s="330" customFormat="1" ht="12.75">
      <c r="A237" s="502" t="s">
        <v>642</v>
      </c>
      <c r="C237" s="497"/>
      <c r="D237" s="497"/>
      <c r="E237" s="511">
        <f aca="true" t="shared" si="133" ref="E237:S237">E$73/D$73-1</f>
        <v>0.0790014684287812</v>
      </c>
      <c r="F237" s="512">
        <f t="shared" si="133"/>
        <v>0.05947196516058795</v>
      </c>
      <c r="G237" s="512">
        <f t="shared" si="133"/>
        <v>0.07116249197174063</v>
      </c>
      <c r="H237" s="512">
        <f t="shared" si="133"/>
        <v>0.04568893152656206</v>
      </c>
      <c r="I237" s="512">
        <f t="shared" si="133"/>
        <v>0.06215596330275219</v>
      </c>
      <c r="J237" s="512">
        <f t="shared" si="133"/>
        <v>0.06737205787087008</v>
      </c>
      <c r="K237" s="505">
        <f t="shared" si="133"/>
        <v>0.06947894134088872</v>
      </c>
      <c r="L237" s="505">
        <f t="shared" si="133"/>
        <v>0.06708036260702865</v>
      </c>
      <c r="M237" s="505">
        <f t="shared" si="133"/>
        <v>0.0644305451517353</v>
      </c>
      <c r="N237" s="505">
        <f t="shared" si="133"/>
        <v>0.06382596948406505</v>
      </c>
      <c r="O237" s="505">
        <f t="shared" si="133"/>
        <v>0.0627505215319315</v>
      </c>
      <c r="P237" s="505">
        <f t="shared" si="133"/>
        <v>0.06320107458947222</v>
      </c>
      <c r="Q237" s="505">
        <f t="shared" si="133"/>
        <v>0.06310302039598437</v>
      </c>
      <c r="R237" s="505">
        <f t="shared" si="133"/>
        <v>0.06865373711340217</v>
      </c>
      <c r="S237" s="505">
        <f t="shared" si="133"/>
        <v>0.06822097378277125</v>
      </c>
      <c r="T237" s="505">
        <f>T$73/S$73-1</f>
        <v>0.06740289679715272</v>
      </c>
      <c r="U237" s="505"/>
    </row>
    <row r="238" spans="1:21" s="330" customFormat="1" ht="12.75">
      <c r="A238" s="382" t="s">
        <v>643</v>
      </c>
      <c r="C238" s="497"/>
      <c r="D238" s="497"/>
      <c r="E238" s="506"/>
      <c r="F238" s="507"/>
      <c r="G238" s="507"/>
      <c r="H238" s="507"/>
      <c r="I238" s="507"/>
      <c r="J238" s="507"/>
      <c r="K238" s="500"/>
      <c r="L238" s="500"/>
      <c r="M238" s="500"/>
      <c r="N238" s="500"/>
      <c r="O238" s="500"/>
      <c r="P238" s="500"/>
      <c r="Q238" s="500"/>
      <c r="R238" s="500"/>
      <c r="S238" s="500"/>
      <c r="T238" s="500"/>
      <c r="U238" s="500"/>
    </row>
    <row r="239" spans="1:21" s="330" customFormat="1" ht="12.75">
      <c r="A239" s="214" t="s">
        <v>640</v>
      </c>
      <c r="C239" s="497"/>
      <c r="D239" s="497"/>
      <c r="E239" s="506">
        <f>SUM(D$74*(E$86/D$86-1),D$75*(SUMPRODUCT(Popn!E$204:E$214,Tracks!$H$93:$H$103)+SUMPRODUCT(Popn!E$215:E$225,Tracks!$I$93:$I$103)),D$76*AVERAGE(Popn!E$197,Popn!E$202))/(D$77-D$73)</f>
        <v>-0.010883918334381383</v>
      </c>
      <c r="F239" s="507">
        <f>SUM(E$74*(F$86/E$86-1),E$75*(SUMPRODUCT(Popn!F$204:F$214,Tracks!$H$93:$H$103)+SUMPRODUCT(Popn!F$215:F$225,Tracks!$I$93:$I$103)),E$76*AVERAGE(Popn!F$197,Popn!F$202))/(E$77-E$73)</f>
        <v>0.008814340552143238</v>
      </c>
      <c r="G239" s="507">
        <f>SUM(F$74*(G$86/F$86-1),F$75*(SUMPRODUCT(Popn!G$204:G$214,Tracks!$H$93:$H$103)+SUMPRODUCT(Popn!G$215:G$225,Tracks!$I$93:$I$103)),F$76*AVERAGE(Popn!G$197,Popn!G$202))/(F$77-F$73)</f>
        <v>0.012178222362739468</v>
      </c>
      <c r="H239" s="507">
        <f>SUM(G$74*(H$86/G$86-1),G$75*(SUMPRODUCT(Popn!H$204:H$214,Tracks!$H$93:$H$103)+SUMPRODUCT(Popn!H$215:H$225,Tracks!$I$93:$I$103)),G$76*AVERAGE(Popn!H$197,Popn!H$202))/(G$77-G$73)</f>
        <v>0.0047813328487321715</v>
      </c>
      <c r="I239" s="507">
        <f>SUM(H$74*(I$86/H$86-1),H$75*(SUMPRODUCT(Popn!I$204:I$214,Tracks!$H$93:$H$103)+SUMPRODUCT(Popn!I$215:I$225,Tracks!$I$93:$I$103)),H$76*AVERAGE(Popn!I$197,Popn!I$202))/(H$77-H$73)</f>
        <v>-0.0013327153382877864</v>
      </c>
      <c r="J239" s="507">
        <f>SUM(I$74*(J$86/I$86-1),I$75*(SUMPRODUCT(Popn!J$204:J$214,Tracks!$H$93:$H$103)+SUMPRODUCT(Popn!J$215:J$225,Tracks!$I$93:$I$103)),I$76*AVERAGE(Popn!J$197,Popn!J$202))/(I$77-I$73)</f>
        <v>0.001916201422224339</v>
      </c>
      <c r="K239" s="500">
        <f>SUM(J$74*(K$86/J$86-1),J$75*(SUMPRODUCT(Popn!K$204:K$214,Tracks!$H$93:$H$103)+SUMPRODUCT(Popn!K$215:K$225,Tracks!$I$93:$I$103)),J$76*AVERAGE(Popn!K$197,Popn!K$202))/(J$77-J$73)</f>
        <v>0.004703518756152441</v>
      </c>
      <c r="L239" s="500">
        <f>SUM(K$74*(L$86/K$86-1),K$75*(SUMPRODUCT(Popn!L$204:L$214,Tracks!$H$93:$H$103)+SUMPRODUCT(Popn!L$215:L$225,Tracks!$I$93:$I$103)),K$76*AVERAGE(Popn!L$197,Popn!L$202))/(K$77-K$73)</f>
        <v>0.004514490102058285</v>
      </c>
      <c r="M239" s="500">
        <f>SUM(L$74*(M$86/L$86-1),L$75*(SUMPRODUCT(Popn!M$204:M$214,Tracks!$H$93:$H$103)+SUMPRODUCT(Popn!M$215:M$225,Tracks!$I$93:$I$103)),L$76*AVERAGE(Popn!M$197,Popn!M$202))/(L$77-L$73)</f>
        <v>0.004705337066711962</v>
      </c>
      <c r="N239" s="500">
        <f>SUM(M$74*(N$86/M$86-1),M$75*(SUMPRODUCT(Popn!N$204:N$214,Tracks!$H$93:$H$103)+SUMPRODUCT(Popn!N$215:N$225,Tracks!$I$93:$I$103)),M$76*AVERAGE(Popn!N$197,Popn!N$202))/(M$77-M$73)</f>
        <v>0.004772665337299069</v>
      </c>
      <c r="O239" s="500">
        <f>SUM(N$74*(O$86/N$86-1),N$75*(SUMPRODUCT(Popn!O$204:O$214,Tracks!$H$93:$H$103)+SUMPRODUCT(Popn!O$215:O$225,Tracks!$I$93:$I$103)),N$76*AVERAGE(Popn!O$197,Popn!O$202))/(N$77-N$73)</f>
        <v>0.004751825891202951</v>
      </c>
      <c r="P239" s="500">
        <f>SUM(O$74*(P$86/O$86-1),O$75*(SUMPRODUCT(Popn!P$204:P$214,Tracks!$H$93:$H$103)+SUMPRODUCT(Popn!P$215:P$225,Tracks!$I$93:$I$103)),O$76*AVERAGE(Popn!P$197,Popn!P$202))/(O$77-O$73)</f>
        <v>0.00469284103219972</v>
      </c>
      <c r="Q239" s="500">
        <f>SUM(P$74*(Q$86/P$86-1),P$75*(SUMPRODUCT(Popn!Q$204:Q$214,Tracks!$H$93:$H$103)+SUMPRODUCT(Popn!Q$215:Q$225,Tracks!$I$93:$I$103)),P$76*AVERAGE(Popn!Q$197,Popn!Q$202))/(P$77-P$73)</f>
        <v>0.004021388894094081</v>
      </c>
      <c r="R239" s="500">
        <f>SUM(Q$74*(R$86/Q$86-1),Q$75*(SUMPRODUCT(Popn!R$204:R$214,Tracks!$H$93:$H$103)+SUMPRODUCT(Popn!R$215:R$225,Tracks!$I$93:$I$103)),Q$76*AVERAGE(Popn!R$197,Popn!R$202))/(Q$77-Q$73)</f>
        <v>0.004082846692566807</v>
      </c>
      <c r="S239" s="500">
        <f>SUM(R$74*(S$86/R$86-1),R$75*(SUMPRODUCT(Popn!S$204:S$214,Tracks!$H$93:$H$103)+SUMPRODUCT(Popn!S$215:S$225,Tracks!$I$93:$I$103)),R$76*AVERAGE(Popn!S$197,Popn!S$202))/(R$77-R$73)</f>
        <v>0.0045374276537785176</v>
      </c>
      <c r="T239" s="500">
        <f>SUM(S$74*(T$86/S$86-1),S$75*(SUMPRODUCT(Popn!T$204:T$214,Tracks!$H$93:$H$103)+SUMPRODUCT(Popn!T$215:T$225,Tracks!$I$93:$I$103)),S$76*AVERAGE(Popn!T$197,Popn!T$202))/(S$77-S$73)</f>
        <v>0.004244969984755188</v>
      </c>
      <c r="U239" s="500"/>
    </row>
    <row r="240" spans="1:21" s="330" customFormat="1" ht="12.75">
      <c r="A240" s="214" t="s">
        <v>709</v>
      </c>
      <c r="C240" s="497"/>
      <c r="D240" s="497"/>
      <c r="E240" s="506">
        <f aca="true" t="shared" si="134" ref="E240:T240">E$215</f>
        <v>0</v>
      </c>
      <c r="F240" s="507">
        <f t="shared" si="134"/>
        <v>0.03408011310084835</v>
      </c>
      <c r="G240" s="507">
        <f t="shared" si="134"/>
        <v>0.022615682868207587</v>
      </c>
      <c r="H240" s="507">
        <f t="shared" si="134"/>
        <v>0.024041598186050894</v>
      </c>
      <c r="I240" s="507">
        <f t="shared" si="134"/>
        <v>0.024530308648100352</v>
      </c>
      <c r="J240" s="507">
        <f t="shared" si="134"/>
        <v>0.02420718187455928</v>
      </c>
      <c r="K240" s="500">
        <f t="shared" si="134"/>
        <v>0.02220718187455928</v>
      </c>
      <c r="L240" s="500">
        <f t="shared" si="134"/>
        <v>0.020207181874559277</v>
      </c>
      <c r="M240" s="500">
        <f t="shared" si="134"/>
        <v>0.02</v>
      </c>
      <c r="N240" s="500">
        <f t="shared" si="134"/>
        <v>0.02</v>
      </c>
      <c r="O240" s="500">
        <f t="shared" si="134"/>
        <v>0.02</v>
      </c>
      <c r="P240" s="500">
        <f t="shared" si="134"/>
        <v>0.02</v>
      </c>
      <c r="Q240" s="500">
        <f t="shared" si="134"/>
        <v>0.02</v>
      </c>
      <c r="R240" s="500">
        <f t="shared" si="134"/>
        <v>0.02</v>
      </c>
      <c r="S240" s="500">
        <f t="shared" si="134"/>
        <v>0.02</v>
      </c>
      <c r="T240" s="500">
        <f t="shared" si="134"/>
        <v>0.02</v>
      </c>
      <c r="U240" s="500"/>
    </row>
    <row r="241" spans="1:21" s="330" customFormat="1" ht="12.75">
      <c r="A241" s="214" t="s">
        <v>649</v>
      </c>
      <c r="C241" s="497"/>
      <c r="D241" s="497"/>
      <c r="E241" s="509">
        <f aca="true" t="shared" si="135" ref="E241:T241">(E$77-E$73)/(D$77-D$73)-(1+E$239+E$240)</f>
        <v>0.06822474982664861</v>
      </c>
      <c r="F241" s="510">
        <f t="shared" si="135"/>
        <v>0.03707515409703199</v>
      </c>
      <c r="G241" s="510">
        <f t="shared" si="135"/>
        <v>0.0005591859659568321</v>
      </c>
      <c r="H241" s="510">
        <f t="shared" si="135"/>
        <v>-0.004445117393399922</v>
      </c>
      <c r="I241" s="510">
        <f t="shared" si="135"/>
        <v>0.006487315479573708</v>
      </c>
      <c r="J241" s="510">
        <f t="shared" si="135"/>
        <v>-0.008004523577021416</v>
      </c>
      <c r="K241" s="408">
        <f t="shared" si="135"/>
        <v>0.0001044518964683494</v>
      </c>
      <c r="L241" s="408">
        <f t="shared" si="135"/>
        <v>9.122512256309889E-05</v>
      </c>
      <c r="M241" s="408">
        <f t="shared" si="135"/>
        <v>9.410674133425445E-05</v>
      </c>
      <c r="N241" s="408">
        <f t="shared" si="135"/>
        <v>9.545330674587404E-05</v>
      </c>
      <c r="O241" s="408">
        <f t="shared" si="135"/>
        <v>9.503651782427625E-05</v>
      </c>
      <c r="P241" s="408">
        <f t="shared" si="135"/>
        <v>9.385682064388945E-05</v>
      </c>
      <c r="Q241" s="408">
        <f t="shared" si="135"/>
        <v>8.04277778820861E-05</v>
      </c>
      <c r="R241" s="408">
        <f t="shared" si="135"/>
        <v>8.165693385131512E-05</v>
      </c>
      <c r="S241" s="408">
        <f t="shared" si="135"/>
        <v>9.074855307544816E-05</v>
      </c>
      <c r="T241" s="408">
        <f t="shared" si="135"/>
        <v>8.489939969513749E-05</v>
      </c>
      <c r="U241" s="408"/>
    </row>
    <row r="242" spans="1:21" s="330" customFormat="1" ht="12.75">
      <c r="A242" s="502" t="s">
        <v>642</v>
      </c>
      <c r="C242" s="497"/>
      <c r="D242" s="497"/>
      <c r="E242" s="511">
        <f aca="true" t="shared" si="136" ref="E242:S242">(E$77-E$73)/(D$77-D$73)-1</f>
        <v>0.05734083149226721</v>
      </c>
      <c r="F242" s="512">
        <f t="shared" si="136"/>
        <v>0.0799696077500236</v>
      </c>
      <c r="G242" s="512">
        <f t="shared" si="136"/>
        <v>0.035353091196903996</v>
      </c>
      <c r="H242" s="512">
        <f t="shared" si="136"/>
        <v>0.02437781364138325</v>
      </c>
      <c r="I242" s="512">
        <f t="shared" si="136"/>
        <v>0.029684908789386233</v>
      </c>
      <c r="J242" s="512">
        <f t="shared" si="136"/>
        <v>0.018118859719762126</v>
      </c>
      <c r="K242" s="505">
        <f t="shared" si="136"/>
        <v>0.02701515252718001</v>
      </c>
      <c r="L242" s="505">
        <f t="shared" si="136"/>
        <v>0.024812897099180553</v>
      </c>
      <c r="M242" s="505">
        <f t="shared" si="136"/>
        <v>0.02479944380804633</v>
      </c>
      <c r="N242" s="505">
        <f t="shared" si="136"/>
        <v>0.024868118644044923</v>
      </c>
      <c r="O242" s="505">
        <f t="shared" si="136"/>
        <v>0.024846862409027226</v>
      </c>
      <c r="P242" s="505">
        <f t="shared" si="136"/>
        <v>0.02478669785284371</v>
      </c>
      <c r="Q242" s="505">
        <f t="shared" si="136"/>
        <v>0.024101816671976195</v>
      </c>
      <c r="R242" s="505">
        <f t="shared" si="136"/>
        <v>0.0241645036264182</v>
      </c>
      <c r="S242" s="505">
        <f t="shared" si="136"/>
        <v>0.02462817620685409</v>
      </c>
      <c r="T242" s="505">
        <f>(T$77-T$73)/(S$77-S$73)-1</f>
        <v>0.024329869384450253</v>
      </c>
      <c r="U242" s="505"/>
    </row>
    <row r="243" spans="1:21" s="330" customFormat="1" ht="12.75">
      <c r="A243" s="382" t="s">
        <v>236</v>
      </c>
      <c r="C243" s="497"/>
      <c r="D243" s="497"/>
      <c r="E243" s="506"/>
      <c r="F243" s="507"/>
      <c r="G243" s="507"/>
      <c r="H243" s="507"/>
      <c r="I243" s="507"/>
      <c r="J243" s="507"/>
      <c r="K243" s="500"/>
      <c r="L243" s="500"/>
      <c r="M243" s="500"/>
      <c r="N243" s="500"/>
      <c r="O243" s="500"/>
      <c r="P243" s="500"/>
      <c r="Q243" s="500"/>
      <c r="R243" s="500"/>
      <c r="S243" s="500"/>
      <c r="T243" s="500"/>
      <c r="U243" s="500"/>
    </row>
    <row r="244" spans="1:21" s="330" customFormat="1" ht="12.75">
      <c r="A244" s="214" t="s">
        <v>640</v>
      </c>
      <c r="C244" s="497"/>
      <c r="D244" s="497"/>
      <c r="E244" s="506">
        <f aca="true" t="shared" si="137" ref="E244:S244">E$91/D$91-1</f>
        <v>0.01958703309615495</v>
      </c>
      <c r="F244" s="507">
        <f t="shared" si="137"/>
        <v>0.019403961775467105</v>
      </c>
      <c r="G244" s="507">
        <f t="shared" si="137"/>
        <v>0.01958461055492622</v>
      </c>
      <c r="H244" s="507">
        <f t="shared" si="137"/>
        <v>0.01932718811671763</v>
      </c>
      <c r="I244" s="507">
        <f t="shared" si="137"/>
        <v>0.01870247374956846</v>
      </c>
      <c r="J244" s="507">
        <f t="shared" si="137"/>
        <v>0.0174244361638618</v>
      </c>
      <c r="K244" s="500">
        <f t="shared" si="137"/>
        <v>0.01756688885228397</v>
      </c>
      <c r="L244" s="500">
        <f t="shared" si="137"/>
        <v>0.017797010322425866</v>
      </c>
      <c r="M244" s="500">
        <f t="shared" si="137"/>
        <v>0.018074294428128246</v>
      </c>
      <c r="N244" s="500">
        <f t="shared" si="137"/>
        <v>0.018566863208148154</v>
      </c>
      <c r="O244" s="500">
        <f t="shared" si="137"/>
        <v>0.017362967627386094</v>
      </c>
      <c r="P244" s="500">
        <f t="shared" si="137"/>
        <v>0.017558175890878047</v>
      </c>
      <c r="Q244" s="500">
        <f t="shared" si="137"/>
        <v>0.017802146396988405</v>
      </c>
      <c r="R244" s="500">
        <f t="shared" si="137"/>
        <v>0.018015054656011165</v>
      </c>
      <c r="S244" s="500">
        <f t="shared" si="137"/>
        <v>0.01865896444005566</v>
      </c>
      <c r="T244" s="500">
        <f>T$91/S$91-1</f>
        <v>0.017326610213063365</v>
      </c>
      <c r="U244" s="500"/>
    </row>
    <row r="245" spans="1:21" s="330" customFormat="1" ht="12.75">
      <c r="A245" s="214" t="s">
        <v>709</v>
      </c>
      <c r="C245" s="497"/>
      <c r="D245" s="497"/>
      <c r="E245" s="506">
        <f aca="true" t="shared" si="138" ref="E245:T245">E$215</f>
        <v>0</v>
      </c>
      <c r="F245" s="507">
        <f t="shared" si="138"/>
        <v>0.03408011310084835</v>
      </c>
      <c r="G245" s="507">
        <f t="shared" si="138"/>
        <v>0.022615682868207587</v>
      </c>
      <c r="H245" s="507">
        <f t="shared" si="138"/>
        <v>0.024041598186050894</v>
      </c>
      <c r="I245" s="507">
        <f t="shared" si="138"/>
        <v>0.024530308648100352</v>
      </c>
      <c r="J245" s="507">
        <f t="shared" si="138"/>
        <v>0.02420718187455928</v>
      </c>
      <c r="K245" s="500">
        <f t="shared" si="138"/>
        <v>0.02220718187455928</v>
      </c>
      <c r="L245" s="500">
        <f t="shared" si="138"/>
        <v>0.020207181874559277</v>
      </c>
      <c r="M245" s="500">
        <f t="shared" si="138"/>
        <v>0.02</v>
      </c>
      <c r="N245" s="500">
        <f t="shared" si="138"/>
        <v>0.02</v>
      </c>
      <c r="O245" s="500">
        <f t="shared" si="138"/>
        <v>0.02</v>
      </c>
      <c r="P245" s="500">
        <f t="shared" si="138"/>
        <v>0.02</v>
      </c>
      <c r="Q245" s="500">
        <f t="shared" si="138"/>
        <v>0.02</v>
      </c>
      <c r="R245" s="500">
        <f t="shared" si="138"/>
        <v>0.02</v>
      </c>
      <c r="S245" s="500">
        <f t="shared" si="138"/>
        <v>0.02</v>
      </c>
      <c r="T245" s="500">
        <f t="shared" si="138"/>
        <v>0.02</v>
      </c>
      <c r="U245" s="500"/>
    </row>
    <row r="246" spans="1:21" s="330" customFormat="1" ht="12.75">
      <c r="A246" s="214" t="s">
        <v>652</v>
      </c>
      <c r="C246" s="497"/>
      <c r="D246" s="497"/>
      <c r="E246" s="509">
        <f aca="true" t="shared" si="139" ref="E246:T246">E$89/D$89-(1+E$244+E$245)</f>
        <v>0.07138351253397546</v>
      </c>
      <c r="F246" s="510">
        <f t="shared" si="139"/>
        <v>0.0421165270534003</v>
      </c>
      <c r="G246" s="510">
        <f t="shared" si="139"/>
        <v>-0.038402927340884574</v>
      </c>
      <c r="H246" s="510">
        <f t="shared" si="139"/>
        <v>-0.04522004193702478</v>
      </c>
      <c r="I246" s="510">
        <f t="shared" si="139"/>
        <v>-0.04411980763756873</v>
      </c>
      <c r="J246" s="510">
        <f t="shared" si="139"/>
        <v>-0.04155090778821946</v>
      </c>
      <c r="K246" s="408">
        <f t="shared" si="139"/>
        <v>-0.02357646427056248</v>
      </c>
      <c r="L246" s="408">
        <f t="shared" si="139"/>
        <v>-0.021311956824923817</v>
      </c>
      <c r="M246" s="408">
        <f t="shared" si="139"/>
        <v>-0.020980936549439333</v>
      </c>
      <c r="N246" s="408">
        <f t="shared" si="139"/>
        <v>-0.02113455815292209</v>
      </c>
      <c r="O246" s="408">
        <f t="shared" si="139"/>
        <v>-0.020844170406986162</v>
      </c>
      <c r="P246" s="408">
        <f t="shared" si="139"/>
        <v>-0.020813187828860213</v>
      </c>
      <c r="Q246" s="408">
        <f t="shared" si="139"/>
        <v>-0.02070445101872509</v>
      </c>
      <c r="R246" s="408">
        <f t="shared" si="139"/>
        <v>-0.02032025989348285</v>
      </c>
      <c r="S246" s="408">
        <f t="shared" si="139"/>
        <v>-0.020195659674959066</v>
      </c>
      <c r="T246" s="408">
        <f t="shared" si="139"/>
        <v>-0.020153900638698596</v>
      </c>
      <c r="U246" s="408"/>
    </row>
    <row r="247" spans="1:21" s="330" customFormat="1" ht="12.75">
      <c r="A247" s="502" t="s">
        <v>642</v>
      </c>
      <c r="C247" s="497"/>
      <c r="D247" s="497"/>
      <c r="E247" s="511">
        <f aca="true" t="shared" si="140" ref="E247:S247">E$89/D$89-1</f>
        <v>0.0909705456301304</v>
      </c>
      <c r="F247" s="512">
        <f t="shared" si="140"/>
        <v>0.09560060192971576</v>
      </c>
      <c r="G247" s="512">
        <f t="shared" si="140"/>
        <v>0.0037973660822492317</v>
      </c>
      <c r="H247" s="512">
        <f t="shared" si="140"/>
        <v>-0.0018512556342562547</v>
      </c>
      <c r="I247" s="512">
        <f t="shared" si="140"/>
        <v>-0.000887025239899919</v>
      </c>
      <c r="J247" s="512">
        <f t="shared" si="140"/>
        <v>8.071025020162104E-05</v>
      </c>
      <c r="K247" s="505">
        <f t="shared" si="140"/>
        <v>0.016197606456280766</v>
      </c>
      <c r="L247" s="505">
        <f t="shared" si="140"/>
        <v>0.016692235372061326</v>
      </c>
      <c r="M247" s="505">
        <f t="shared" si="140"/>
        <v>0.01709335787868893</v>
      </c>
      <c r="N247" s="505">
        <f t="shared" si="140"/>
        <v>0.017432305055226083</v>
      </c>
      <c r="O247" s="505">
        <f t="shared" si="140"/>
        <v>0.01651879722039995</v>
      </c>
      <c r="P247" s="505">
        <f t="shared" si="140"/>
        <v>0.01674498806201785</v>
      </c>
      <c r="Q247" s="505">
        <f t="shared" si="140"/>
        <v>0.017097695378263333</v>
      </c>
      <c r="R247" s="505">
        <f t="shared" si="140"/>
        <v>0.017694794762528332</v>
      </c>
      <c r="S247" s="505">
        <f t="shared" si="140"/>
        <v>0.01846330476509661</v>
      </c>
      <c r="T247" s="505">
        <f>T$89/S$89-1</f>
        <v>0.017172709574364786</v>
      </c>
      <c r="U247" s="505"/>
    </row>
    <row r="248" spans="1:21" s="330" customFormat="1" ht="12.75">
      <c r="A248" s="382" t="s">
        <v>506</v>
      </c>
      <c r="C248" s="497"/>
      <c r="D248" s="497"/>
      <c r="E248" s="506"/>
      <c r="F248" s="507"/>
      <c r="G248" s="507"/>
      <c r="H248" s="507"/>
      <c r="I248" s="507"/>
      <c r="J248" s="507"/>
      <c r="K248" s="500"/>
      <c r="L248" s="500"/>
      <c r="M248" s="500"/>
      <c r="N248" s="500"/>
      <c r="O248" s="500"/>
      <c r="P248" s="500"/>
      <c r="Q248" s="500"/>
      <c r="R248" s="500"/>
      <c r="S248" s="500"/>
      <c r="T248" s="500"/>
      <c r="U248" s="500"/>
    </row>
    <row r="249" spans="1:21" s="330" customFormat="1" ht="12.75">
      <c r="A249" s="214" t="s">
        <v>640</v>
      </c>
      <c r="C249" s="497"/>
      <c r="D249" s="497"/>
      <c r="E249" s="498">
        <f>AVERAGE(Popn!E$198:E$200)</f>
        <v>0.0100888989353178</v>
      </c>
      <c r="F249" s="499">
        <f>AVERAGE(Popn!F$198:F$200)</f>
        <v>0.009799053644850897</v>
      </c>
      <c r="G249" s="499">
        <f>AVERAGE(Popn!G$198:G$200)</f>
        <v>0.009196410686126533</v>
      </c>
      <c r="H249" s="499">
        <f>AVERAGE(Popn!H$198:H$200)</f>
        <v>0.006481348486421641</v>
      </c>
      <c r="I249" s="499">
        <f>AVERAGE(Popn!I$198:I$200)</f>
        <v>0.0029676004591795793</v>
      </c>
      <c r="J249" s="499">
        <f>AVERAGE(Popn!J$198:J$200)</f>
        <v>0.00043921875583396996</v>
      </c>
      <c r="K249" s="500">
        <f>AVERAGE(Popn!K$198:K$200)</f>
        <v>-0.0014129918535461898</v>
      </c>
      <c r="L249" s="500">
        <f>AVERAGE(Popn!L$198:L$200)</f>
        <v>-0.003469831949740524</v>
      </c>
      <c r="M249" s="500">
        <f>AVERAGE(Popn!M$198:M$200)</f>
        <v>-0.004333652502099457</v>
      </c>
      <c r="N249" s="500">
        <f>AVERAGE(Popn!N$198:N$200)</f>
        <v>-0.0032994203536862074</v>
      </c>
      <c r="O249" s="500">
        <f>AVERAGE(Popn!O$198:O$200)</f>
        <v>-0.002251851116172543</v>
      </c>
      <c r="P249" s="500">
        <f>AVERAGE(Popn!P$198:P$200)</f>
        <v>-0.0013752784673047118</v>
      </c>
      <c r="Q249" s="500">
        <f>AVERAGE(Popn!Q$198:Q$200)</f>
        <v>-0.0020440162551587835</v>
      </c>
      <c r="R249" s="500">
        <f>AVERAGE(Popn!R$198:R$200)</f>
        <v>-0.0010197037167458307</v>
      </c>
      <c r="S249" s="500">
        <f>AVERAGE(Popn!S$198:S$200)</f>
        <v>0.0009472096853833841</v>
      </c>
      <c r="T249" s="500">
        <f>AVERAGE(Popn!T$198:T$200)</f>
        <v>0.0007757487895866758</v>
      </c>
      <c r="U249" s="500"/>
    </row>
    <row r="250" spans="1:21" s="330" customFormat="1" ht="12.75">
      <c r="A250" s="214" t="s">
        <v>709</v>
      </c>
      <c r="C250" s="497"/>
      <c r="D250" s="497"/>
      <c r="E250" s="506">
        <f aca="true" t="shared" si="141" ref="E250:T250">E$215</f>
        <v>0</v>
      </c>
      <c r="F250" s="507">
        <f t="shared" si="141"/>
        <v>0.03408011310084835</v>
      </c>
      <c r="G250" s="507">
        <f t="shared" si="141"/>
        <v>0.022615682868207587</v>
      </c>
      <c r="H250" s="507">
        <f t="shared" si="141"/>
        <v>0.024041598186050894</v>
      </c>
      <c r="I250" s="507">
        <f t="shared" si="141"/>
        <v>0.024530308648100352</v>
      </c>
      <c r="J250" s="507">
        <f t="shared" si="141"/>
        <v>0.02420718187455928</v>
      </c>
      <c r="K250" s="500">
        <f t="shared" si="141"/>
        <v>0.02220718187455928</v>
      </c>
      <c r="L250" s="500">
        <f t="shared" si="141"/>
        <v>0.020207181874559277</v>
      </c>
      <c r="M250" s="500">
        <f t="shared" si="141"/>
        <v>0.02</v>
      </c>
      <c r="N250" s="500">
        <f t="shared" si="141"/>
        <v>0.02</v>
      </c>
      <c r="O250" s="500">
        <f t="shared" si="141"/>
        <v>0.02</v>
      </c>
      <c r="P250" s="500">
        <f t="shared" si="141"/>
        <v>0.02</v>
      </c>
      <c r="Q250" s="500">
        <f t="shared" si="141"/>
        <v>0.02</v>
      </c>
      <c r="R250" s="500">
        <f t="shared" si="141"/>
        <v>0.02</v>
      </c>
      <c r="S250" s="500">
        <f t="shared" si="141"/>
        <v>0.02</v>
      </c>
      <c r="T250" s="500">
        <f t="shared" si="141"/>
        <v>0.02</v>
      </c>
      <c r="U250" s="500"/>
    </row>
    <row r="251" spans="1:21" s="330" customFormat="1" ht="12.75">
      <c r="A251" s="214" t="s">
        <v>590</v>
      </c>
      <c r="C251" s="497"/>
      <c r="D251" s="497"/>
      <c r="E251" s="509">
        <f aca="true" t="shared" si="142" ref="E251:T251">E$95/D$95-(1+E$249+E$250)</f>
        <v>0.020335095023037875</v>
      </c>
      <c r="F251" s="510">
        <f t="shared" si="142"/>
        <v>0.08050571441857679</v>
      </c>
      <c r="G251" s="510">
        <f t="shared" si="142"/>
        <v>0.0033867145283550393</v>
      </c>
      <c r="H251" s="510">
        <f t="shared" si="142"/>
        <v>-0.013881766497965131</v>
      </c>
      <c r="I251" s="510">
        <f t="shared" si="142"/>
        <v>-0.017145759045343878</v>
      </c>
      <c r="J251" s="510">
        <f t="shared" si="142"/>
        <v>-0.018603839985853465</v>
      </c>
      <c r="K251" s="408">
        <f t="shared" si="142"/>
        <v>-0.02220718187455928</v>
      </c>
      <c r="L251" s="408">
        <f t="shared" si="142"/>
        <v>-0.0202071818745595</v>
      </c>
      <c r="M251" s="408">
        <f t="shared" si="142"/>
        <v>-0.019999999999999907</v>
      </c>
      <c r="N251" s="408">
        <f t="shared" si="142"/>
        <v>-0.019999999999999907</v>
      </c>
      <c r="O251" s="408">
        <f t="shared" si="142"/>
        <v>-0.019999999999999796</v>
      </c>
      <c r="P251" s="408">
        <f t="shared" si="142"/>
        <v>-0.020000000000000018</v>
      </c>
      <c r="Q251" s="408">
        <f t="shared" si="142"/>
        <v>-0.019999999999999907</v>
      </c>
      <c r="R251" s="408">
        <f t="shared" si="142"/>
        <v>-0.02000000000000013</v>
      </c>
      <c r="S251" s="408">
        <f t="shared" si="142"/>
        <v>-0.020000000000000018</v>
      </c>
      <c r="T251" s="408">
        <f t="shared" si="142"/>
        <v>-0.020000000000000018</v>
      </c>
      <c r="U251" s="408"/>
    </row>
    <row r="252" spans="1:21" s="330" customFormat="1" ht="12.75">
      <c r="A252" s="502" t="s">
        <v>642</v>
      </c>
      <c r="C252" s="497"/>
      <c r="D252" s="497"/>
      <c r="E252" s="511">
        <f aca="true" t="shared" si="143" ref="E252:S252">E$95/D$95-1</f>
        <v>0.03042399395835571</v>
      </c>
      <c r="F252" s="512">
        <f t="shared" si="143"/>
        <v>0.12438488116427604</v>
      </c>
      <c r="G252" s="512">
        <f t="shared" si="143"/>
        <v>0.03519880808268927</v>
      </c>
      <c r="H252" s="512">
        <f t="shared" si="143"/>
        <v>0.01664118017450744</v>
      </c>
      <c r="I252" s="512">
        <f t="shared" si="143"/>
        <v>0.010352150061936127</v>
      </c>
      <c r="J252" s="512">
        <f t="shared" si="143"/>
        <v>0.006042560644539785</v>
      </c>
      <c r="K252" s="505">
        <f t="shared" si="143"/>
        <v>-0.0014129918535461528</v>
      </c>
      <c r="L252" s="505">
        <f t="shared" si="143"/>
        <v>-0.0034698319497405983</v>
      </c>
      <c r="M252" s="505">
        <f t="shared" si="143"/>
        <v>-0.004333652502099494</v>
      </c>
      <c r="N252" s="505">
        <f t="shared" si="143"/>
        <v>-0.0032994203536861333</v>
      </c>
      <c r="O252" s="505">
        <f t="shared" si="143"/>
        <v>-0.002251851116172432</v>
      </c>
      <c r="P252" s="505">
        <f t="shared" si="143"/>
        <v>-0.0013752784673046747</v>
      </c>
      <c r="Q252" s="505">
        <f t="shared" si="143"/>
        <v>-0.0020440162551588203</v>
      </c>
      <c r="R252" s="505">
        <f t="shared" si="143"/>
        <v>-0.0010197037167459788</v>
      </c>
      <c r="S252" s="505">
        <f t="shared" si="143"/>
        <v>0.0009472096853833101</v>
      </c>
      <c r="T252" s="505">
        <f>T$95/S$95-1</f>
        <v>0.0007757487895867499</v>
      </c>
      <c r="U252" s="505"/>
    </row>
    <row r="253" spans="1:21" s="330" customFormat="1" ht="12.75">
      <c r="A253" s="382" t="s">
        <v>653</v>
      </c>
      <c r="C253" s="497"/>
      <c r="D253" s="497"/>
      <c r="E253" s="506"/>
      <c r="F253" s="507"/>
      <c r="G253" s="507"/>
      <c r="H253" s="507"/>
      <c r="I253" s="507"/>
      <c r="J253" s="507"/>
      <c r="K253" s="500"/>
      <c r="L253" s="500"/>
      <c r="M253" s="500"/>
      <c r="N253" s="500"/>
      <c r="O253" s="500"/>
      <c r="P253" s="500"/>
      <c r="Q253" s="500"/>
      <c r="R253" s="500"/>
      <c r="S253" s="500"/>
      <c r="T253" s="500"/>
      <c r="U253" s="500"/>
    </row>
    <row r="254" spans="1:21" s="330" customFormat="1" ht="12.75">
      <c r="A254" s="214" t="s">
        <v>709</v>
      </c>
      <c r="C254" s="497"/>
      <c r="D254" s="497"/>
      <c r="E254" s="506">
        <f aca="true" t="shared" si="144" ref="E254:T254">E$215</f>
        <v>0</v>
      </c>
      <c r="F254" s="507">
        <f t="shared" si="144"/>
        <v>0.03408011310084835</v>
      </c>
      <c r="G254" s="507">
        <f t="shared" si="144"/>
        <v>0.022615682868207587</v>
      </c>
      <c r="H254" s="507">
        <f t="shared" si="144"/>
        <v>0.024041598186050894</v>
      </c>
      <c r="I254" s="507">
        <f t="shared" si="144"/>
        <v>0.024530308648100352</v>
      </c>
      <c r="J254" s="507">
        <f t="shared" si="144"/>
        <v>0.02420718187455928</v>
      </c>
      <c r="K254" s="500">
        <f t="shared" si="144"/>
        <v>0.02220718187455928</v>
      </c>
      <c r="L254" s="500">
        <f t="shared" si="144"/>
        <v>0.020207181874559277</v>
      </c>
      <c r="M254" s="500">
        <f t="shared" si="144"/>
        <v>0.02</v>
      </c>
      <c r="N254" s="500">
        <f t="shared" si="144"/>
        <v>0.02</v>
      </c>
      <c r="O254" s="500">
        <f t="shared" si="144"/>
        <v>0.02</v>
      </c>
      <c r="P254" s="500">
        <f t="shared" si="144"/>
        <v>0.02</v>
      </c>
      <c r="Q254" s="500">
        <f t="shared" si="144"/>
        <v>0.02</v>
      </c>
      <c r="R254" s="500">
        <f t="shared" si="144"/>
        <v>0.02</v>
      </c>
      <c r="S254" s="500">
        <f t="shared" si="144"/>
        <v>0.02</v>
      </c>
      <c r="T254" s="500">
        <f t="shared" si="144"/>
        <v>0.02</v>
      </c>
      <c r="U254" s="500"/>
    </row>
    <row r="255" spans="1:21" s="330" customFormat="1" ht="12.75">
      <c r="A255" s="214" t="s">
        <v>224</v>
      </c>
      <c r="C255" s="497"/>
      <c r="D255" s="497"/>
      <c r="E255" s="509">
        <f aca="true" t="shared" si="145" ref="E255:T255">E$103/D$103-(1+E$254)</f>
        <v>0.034681324433974536</v>
      </c>
      <c r="F255" s="510">
        <f t="shared" si="145"/>
        <v>0.05736941890016345</v>
      </c>
      <c r="G255" s="510">
        <f t="shared" si="145"/>
        <v>0.017771383999332313</v>
      </c>
      <c r="H255" s="510">
        <f t="shared" si="145"/>
        <v>-0.029945246194962194</v>
      </c>
      <c r="I255" s="510">
        <f t="shared" si="145"/>
        <v>-0.01494993999999683</v>
      </c>
      <c r="J255" s="510">
        <f t="shared" si="145"/>
        <v>0.015859410800246554</v>
      </c>
      <c r="K255" s="408">
        <f t="shared" si="145"/>
        <v>-0.004854060146873174</v>
      </c>
      <c r="L255" s="408">
        <f t="shared" si="145"/>
        <v>-0.018316010689131135</v>
      </c>
      <c r="M255" s="408">
        <f t="shared" si="145"/>
        <v>-0.017909496994137353</v>
      </c>
      <c r="N255" s="408">
        <f t="shared" si="145"/>
        <v>-0.017735140857779053</v>
      </c>
      <c r="O255" s="408">
        <f t="shared" si="145"/>
        <v>-0.017817545784432287</v>
      </c>
      <c r="P255" s="408">
        <f t="shared" si="145"/>
        <v>-0.023161026969260368</v>
      </c>
      <c r="Q255" s="408">
        <f t="shared" si="145"/>
        <v>-0.024376475320188162</v>
      </c>
      <c r="R255" s="408">
        <f t="shared" si="145"/>
        <v>-0.024509751468664742</v>
      </c>
      <c r="S255" s="408">
        <f t="shared" si="145"/>
        <v>-0.024716498040972756</v>
      </c>
      <c r="T255" s="408">
        <f t="shared" si="145"/>
        <v>-0.02472195446985559</v>
      </c>
      <c r="U255" s="408"/>
    </row>
    <row r="256" spans="1:21" s="330" customFormat="1" ht="12.75">
      <c r="A256" s="502" t="s">
        <v>642</v>
      </c>
      <c r="C256" s="497"/>
      <c r="D256" s="497"/>
      <c r="E256" s="511">
        <f aca="true" t="shared" si="146" ref="E256:S256">E$103/D$103-1</f>
        <v>0.034681324433974536</v>
      </c>
      <c r="F256" s="512">
        <f t="shared" si="146"/>
        <v>0.0914495320010118</v>
      </c>
      <c r="G256" s="512">
        <f t="shared" si="146"/>
        <v>0.0403870668675399</v>
      </c>
      <c r="H256" s="512">
        <f t="shared" si="146"/>
        <v>-0.0059036480089113</v>
      </c>
      <c r="I256" s="512">
        <f t="shared" si="146"/>
        <v>0.009580368648103521</v>
      </c>
      <c r="J256" s="512">
        <f t="shared" si="146"/>
        <v>0.040066592674805834</v>
      </c>
      <c r="K256" s="505">
        <f t="shared" si="146"/>
        <v>0.017353121727686105</v>
      </c>
      <c r="L256" s="505">
        <f t="shared" si="146"/>
        <v>0.0018911711854281421</v>
      </c>
      <c r="M256" s="505">
        <f t="shared" si="146"/>
        <v>0.002090503005862665</v>
      </c>
      <c r="N256" s="505">
        <f t="shared" si="146"/>
        <v>0.002264859142220965</v>
      </c>
      <c r="O256" s="505">
        <f t="shared" si="146"/>
        <v>0.0021824542155677307</v>
      </c>
      <c r="P256" s="505">
        <f t="shared" si="146"/>
        <v>-0.00316102696926035</v>
      </c>
      <c r="Q256" s="505">
        <f t="shared" si="146"/>
        <v>-0.0043764753201881446</v>
      </c>
      <c r="R256" s="505">
        <f t="shared" si="146"/>
        <v>-0.004509751468664724</v>
      </c>
      <c r="S256" s="505">
        <f t="shared" si="146"/>
        <v>-0.004716498040972739</v>
      </c>
      <c r="T256" s="505">
        <f>T$103/S$103-1</f>
        <v>-0.0047219544698555715</v>
      </c>
      <c r="U256" s="505"/>
    </row>
    <row r="257" ht="12.75">
      <c r="D257" s="102"/>
    </row>
    <row r="258" ht="12.75">
      <c r="D258" s="102"/>
    </row>
    <row r="259" ht="12.75">
      <c r="D259" s="102"/>
    </row>
    <row r="260" ht="12.75">
      <c r="D260" s="102"/>
    </row>
    <row r="261" spans="1:12" ht="12.75">
      <c r="A261" s="46" t="s">
        <v>513</v>
      </c>
      <c r="D261" s="102"/>
      <c r="E261" s="102"/>
      <c r="F261" s="102"/>
      <c r="J261" s="171"/>
      <c r="K261" s="171"/>
      <c r="L261" s="171"/>
    </row>
    <row r="262" spans="1:10" ht="12.75">
      <c r="A262" s="47" t="s">
        <v>514</v>
      </c>
      <c r="B262" s="283"/>
      <c r="C262" s="283"/>
      <c r="D262" s="379" t="str">
        <f>IF(D$2-5&lt;=ReadyReckoner!$F$1,"History",D$2-ReadyReckoner!$F$1-4)</f>
        <v>History</v>
      </c>
      <c r="E262" s="466" t="str">
        <f>IF(E$2-5&lt;=ReadyReckoner!$F$1,"History",E$2-ReadyReckoner!$F$1-4)</f>
        <v>History</v>
      </c>
      <c r="F262" s="284">
        <f>IF(F$2-5&lt;=ReadyReckoner!$F$1,"History",F$2-ReadyReckoner!$F$1-4)</f>
        <v>2</v>
      </c>
      <c r="G262" s="284">
        <f>IF(G$2-5&lt;=ReadyReckoner!$F$1,"History",G$2-ReadyReckoner!$F$1-4)</f>
        <v>3</v>
      </c>
      <c r="H262" s="284">
        <f>IF(H$2-5&lt;=ReadyReckoner!$F$1,"History",H$2-ReadyReckoner!$F$1-4)</f>
        <v>4</v>
      </c>
      <c r="I262" s="284">
        <f>IF(I$2-5&lt;=ReadyReckoner!$F$1,"History",I$2-ReadyReckoner!$F$1-4)</f>
        <v>5</v>
      </c>
      <c r="J262" s="284">
        <f>IF(J$2-5&lt;=ReadyReckoner!$F$1,"History",J$2-ReadyReckoner!$F$1-4)</f>
        <v>6</v>
      </c>
    </row>
    <row r="263" spans="4:9" ht="12.75">
      <c r="D263" s="102"/>
      <c r="I263" s="104"/>
    </row>
    <row r="264" spans="1:10" ht="12.75">
      <c r="A264" s="47" t="s">
        <v>957</v>
      </c>
      <c r="D264" s="102"/>
      <c r="E264" s="297"/>
      <c r="F264" s="297">
        <f ca="1">IF($I$1="Yes",OFFSET(ReadyReckoner!$A$9,0,F$262)/1000,0)</f>
        <v>0</v>
      </c>
      <c r="G264" s="297">
        <f ca="1">IF($I$1="Yes",OFFSET(ReadyReckoner!$A$9,0,G$262)/1000,0)</f>
        <v>0</v>
      </c>
      <c r="H264" s="297">
        <f ca="1">IF($I$1="Yes",OFFSET(ReadyReckoner!$A$9,0,H$262)/1000,0)</f>
        <v>0</v>
      </c>
      <c r="I264" s="297">
        <f ca="1">IF($I$1="Yes",OFFSET(ReadyReckoner!$A$9,0,I$262)/1000,0)</f>
        <v>0</v>
      </c>
      <c r="J264" s="297">
        <f ca="1">IF($I$1="Yes",OFFSET(ReadyReckoner!$A$9,0,J$262)/1000,0)</f>
        <v>0</v>
      </c>
    </row>
    <row r="265" spans="1:10" ht="12.75">
      <c r="A265" s="47" t="s">
        <v>958</v>
      </c>
      <c r="D265" s="102"/>
      <c r="E265" s="297"/>
      <c r="F265" s="297">
        <f ca="1">IF($I$1="Yes",OFFSET(ReadyReckoner!$A$10,0,F$262)/1000,0)</f>
        <v>0</v>
      </c>
      <c r="G265" s="297">
        <f ca="1">IF($I$1="Yes",OFFSET(ReadyReckoner!$A$10,0,G$262)/1000,0)</f>
        <v>0</v>
      </c>
      <c r="H265" s="297">
        <f ca="1">IF($I$1="Yes",OFFSET(ReadyReckoner!$A$10,0,H$262)/1000,0)</f>
        <v>0</v>
      </c>
      <c r="I265" s="297">
        <f ca="1">IF($I$1="Yes",OFFSET(ReadyReckoner!$A$10,0,I$262)/1000,0)</f>
        <v>0</v>
      </c>
      <c r="J265" s="297">
        <f ca="1">IF($I$1="Yes",OFFSET(ReadyReckoner!$A$10,0,J$262)/1000,0)</f>
        <v>0</v>
      </c>
    </row>
    <row r="266" spans="1:10" ht="12.75">
      <c r="A266" s="47" t="s">
        <v>515</v>
      </c>
      <c r="D266" s="102"/>
      <c r="E266" s="298"/>
      <c r="F266" s="298">
        <f>IF($I$1="Yes",F$218*SUM((F273-E273)/2,E273-$E$273),0)</f>
        <v>0</v>
      </c>
      <c r="G266" s="298">
        <f>IF($I$1="Yes",G$218*SUM((G273-F273)/2,F273-$E$273),0)</f>
        <v>0</v>
      </c>
      <c r="H266" s="298">
        <f>IF($I$1="Yes",H$218*SUM((H273-G273)/2,G273-$E$273),0)</f>
        <v>0</v>
      </c>
      <c r="I266" s="298">
        <f>IF($I$1="Yes",I$218*SUM((I273-H273)/2,H273-$E$273),0)</f>
        <v>0</v>
      </c>
      <c r="J266" s="298">
        <f>IF($I$1="Yes",J$218*SUM((J273-I273)/2,I273-$E$273),0)</f>
        <v>0</v>
      </c>
    </row>
    <row r="267" spans="1:10" ht="12.75">
      <c r="A267" s="47" t="s">
        <v>516</v>
      </c>
      <c r="D267" s="102"/>
      <c r="E267" s="298"/>
      <c r="F267" s="298">
        <f ca="1">IF($I$1="Yes",OFFSET(ReadyReckoner!$A$11,0,F$262)/1000,0)</f>
        <v>0</v>
      </c>
      <c r="G267" s="298">
        <f ca="1">IF($I$1="Yes",OFFSET(ReadyReckoner!$A$11,0,G$262)/1000,0)</f>
        <v>0</v>
      </c>
      <c r="H267" s="298">
        <f ca="1">IF($I$1="Yes",OFFSET(ReadyReckoner!$A$11,0,H$262)/1000,0)</f>
        <v>0</v>
      </c>
      <c r="I267" s="298">
        <f ca="1">IF($I$1="Yes",OFFSET(ReadyReckoner!$A$11,0,I$262)/1000,0)</f>
        <v>0</v>
      </c>
      <c r="J267" s="298">
        <f ca="1">IF($I$1="Yes",OFFSET(ReadyReckoner!$A$11,0,J$262)/1000,0)</f>
        <v>0</v>
      </c>
    </row>
    <row r="268" spans="1:10" ht="12.75">
      <c r="A268" s="47" t="s">
        <v>517</v>
      </c>
      <c r="D268" s="102"/>
      <c r="E268" s="297"/>
      <c r="F268" s="297">
        <f>IF($I$1="Yes",F$218*(SUM($D$267:E$267,F$267/2)-SUM($D$264:E$266,SUM(F$266,F$264:F$265)/2)+SUM($D$270:E$270,F$270/2)),0)</f>
        <v>0</v>
      </c>
      <c r="G268" s="297">
        <f>IF($I$1="Yes",G$218*(SUM($D$267:F$267,G$267/2)-SUM($D$264:F$266,SUM(G$266,G$264:G$265)/2)+SUM($D$270:F$270,G$270/2)),0)</f>
        <v>0</v>
      </c>
      <c r="H268" s="297">
        <f>IF($I$1="Yes",H$218*(SUM($D$267:G$267,H$267/2)-SUM($D$264:G$266,SUM(H$266,H$264:H$265)/2)+SUM($D$270:G$270,H$270/2)),0)</f>
        <v>0</v>
      </c>
      <c r="I268" s="297">
        <f>IF($I$1="Yes",I$218*(SUM($D$267:H$267,I$267/2)-SUM($D$264:H$266,SUM(I$266,I$264:I$265)/2)+SUM($D$270:H$270,I$270/2)),0)</f>
        <v>0</v>
      </c>
      <c r="J268" s="297">
        <f>IF($I$1="Yes",J$218*(SUM($D$267:I$267,J$267/2)-SUM($D$264:I$266,SUM(J$266,J$264:J$265)/2)+SUM($D$270:I$270,J$270/2)),0)</f>
        <v>0</v>
      </c>
    </row>
    <row r="269" spans="1:10" ht="12.75">
      <c r="A269" s="281" t="s">
        <v>539</v>
      </c>
      <c r="D269" s="102"/>
      <c r="E269" s="299"/>
      <c r="F269" s="299">
        <f>SUM(F$264:F$265,F$266)-SUM(F$267,F$268)</f>
        <v>0</v>
      </c>
      <c r="G269" s="299">
        <f>SUM(G$264:G$265,G$266)-SUM(G$267,G$268)</f>
        <v>0</v>
      </c>
      <c r="H269" s="299">
        <f>SUM(H$264:H$265,H$266)-SUM(H$267,H$268)</f>
        <v>0</v>
      </c>
      <c r="I269" s="299">
        <f>SUM(I$264:I$265,I$266)-SUM(I$267,I$268)</f>
        <v>0</v>
      </c>
      <c r="J269" s="299">
        <f>SUM(J$264:J$265,J$266)-SUM(J$267,J$268)</f>
        <v>0</v>
      </c>
    </row>
    <row r="270" spans="1:10" ht="12.75">
      <c r="A270" s="47" t="s">
        <v>518</v>
      </c>
      <c r="D270" s="102"/>
      <c r="E270" s="298"/>
      <c r="F270" s="298">
        <f ca="1">IF($I$1="Yes",SUM(OFFSET(ReadyReckoner!$A$13,0,F$262),OFFSET(ReadyReckoner!$A$14,0,F$262),-OFFSET(ReadyReckoner!$A$15,0,F$262))/1000,0)</f>
        <v>0</v>
      </c>
      <c r="G270" s="298">
        <f ca="1">IF($I$1="Yes",SUM(OFFSET(ReadyReckoner!$A$13,0,G$262),OFFSET(ReadyReckoner!$A$14,0,G$262),-OFFSET(ReadyReckoner!$A$15,0,G$262))/1000,0)</f>
        <v>0</v>
      </c>
      <c r="H270" s="298">
        <f ca="1">IF($I$1="Yes",SUM(OFFSET(ReadyReckoner!$A$13,0,H$262),OFFSET(ReadyReckoner!$A$14,0,H$262),-OFFSET(ReadyReckoner!$A$15,0,H$262))/1000,0)</f>
        <v>0</v>
      </c>
      <c r="I270" s="298">
        <f ca="1">IF($I$1="Yes",SUM(OFFSET(ReadyReckoner!$A$13,0,I$262),OFFSET(ReadyReckoner!$A$14,0,I$262),-OFFSET(ReadyReckoner!$A$15,0,I$262))/1000,0)</f>
        <v>0</v>
      </c>
      <c r="J270" s="298">
        <f ca="1">IF($I$1="Yes",SUM(OFFSET(ReadyReckoner!$A$13,0,J$262),OFFSET(ReadyReckoner!$A$14,0,J$262),-OFFSET(ReadyReckoner!$A$15,0,J$262))/1000,0)</f>
        <v>0</v>
      </c>
    </row>
    <row r="271" spans="1:10" ht="12.75">
      <c r="A271" s="281" t="s">
        <v>519</v>
      </c>
      <c r="D271" s="102"/>
      <c r="E271" s="63"/>
      <c r="F271" s="63">
        <f>F$270-F$269</f>
        <v>0</v>
      </c>
      <c r="G271" s="63">
        <f>G$270-G$269</f>
        <v>0</v>
      </c>
      <c r="H271" s="63">
        <f>H$270-H$269</f>
        <v>0</v>
      </c>
      <c r="I271" s="63">
        <f>I$270-I$269</f>
        <v>0</v>
      </c>
      <c r="J271" s="63">
        <f>J$270-J$269</f>
        <v>0</v>
      </c>
    </row>
    <row r="272" spans="1:10" ht="13.5">
      <c r="A272" s="282"/>
      <c r="D272" s="102"/>
      <c r="E272" s="64"/>
      <c r="F272" s="64"/>
      <c r="G272" s="64"/>
      <c r="H272" s="64"/>
      <c r="I272" s="64"/>
      <c r="J272" s="64"/>
    </row>
    <row r="273" spans="1:10" ht="12.75">
      <c r="A273" s="47" t="s">
        <v>520</v>
      </c>
      <c r="D273" s="102"/>
      <c r="E273" s="58"/>
      <c r="F273" s="58">
        <f ca="1">IF($I$1="Yes",SUM(OFFSET(ReadyReckoner!$A$13,0,F$262)/1000,E273),0)</f>
        <v>0</v>
      </c>
      <c r="G273" s="58">
        <f ca="1">IF($I$1="Yes",SUM(OFFSET(ReadyReckoner!$A$13,0,G$262)/1000,F273),0)</f>
        <v>0</v>
      </c>
      <c r="H273" s="58">
        <f ca="1">IF($I$1="Yes",SUM(OFFSET(ReadyReckoner!$A$13,0,H$262)/1000,G273),0)</f>
        <v>0</v>
      </c>
      <c r="I273" s="58">
        <f ca="1">IF($I$1="Yes",SUM(OFFSET(ReadyReckoner!$A$13,0,I$262)/1000,H273),0)</f>
        <v>0</v>
      </c>
      <c r="J273" s="58">
        <f ca="1">IF($I$1="Yes",SUM(OFFSET(ReadyReckoner!$A$13,0,J$262)/1000,I273),0)</f>
        <v>0</v>
      </c>
    </row>
    <row r="274" spans="1:10" ht="12.75">
      <c r="A274" s="47" t="s">
        <v>521</v>
      </c>
      <c r="D274" s="102"/>
      <c r="E274" s="58"/>
      <c r="F274" s="58">
        <f ca="1">IF($I$1="Yes",SUM(OFFSET(ReadyReckoner!$A$14,0,F$262)/1000,E274),0)</f>
        <v>0</v>
      </c>
      <c r="G274" s="58">
        <f ca="1">IF($I$1="Yes",SUM(OFFSET(ReadyReckoner!$A$14,0,G$262)/1000,F274),0)</f>
        <v>0</v>
      </c>
      <c r="H274" s="58">
        <f ca="1">IF($I$1="Yes",SUM(OFFSET(ReadyReckoner!$A$14,0,H$262)/1000,G274),0)</f>
        <v>0</v>
      </c>
      <c r="I274" s="58">
        <f ca="1">IF($I$1="Yes",SUM(OFFSET(ReadyReckoner!$A$14,0,I$262)/1000,H274),0)</f>
        <v>0</v>
      </c>
      <c r="J274" s="58">
        <f ca="1">IF($I$1="Yes",SUM(OFFSET(ReadyReckoner!$A$14,0,J$262)/1000,I274),0)</f>
        <v>0</v>
      </c>
    </row>
    <row r="275" spans="1:10" ht="12.75">
      <c r="A275" s="47" t="s">
        <v>522</v>
      </c>
      <c r="D275" s="102"/>
      <c r="E275" s="58"/>
      <c r="F275" s="58">
        <f ca="1">IF($I$1="Yes",SUM(OFFSET(ReadyReckoner!$A$15,0,F$262)/1000,E275),0)</f>
        <v>0</v>
      </c>
      <c r="G275" s="58">
        <f ca="1">IF($I$1="Yes",SUM(OFFSET(ReadyReckoner!$A$15,0,G$262)/1000,F275),0)</f>
        <v>0</v>
      </c>
      <c r="H275" s="58">
        <f ca="1">IF($I$1="Yes",SUM(OFFSET(ReadyReckoner!$A$15,0,H$262)/1000,G275),0)</f>
        <v>0</v>
      </c>
      <c r="I275" s="58">
        <f ca="1">IF($I$1="Yes",SUM(OFFSET(ReadyReckoner!$A$15,0,I$262)/1000,H275),0)</f>
        <v>0</v>
      </c>
      <c r="J275" s="58">
        <f ca="1">IF($I$1="Yes",SUM(OFFSET(ReadyReckoner!$A$15,0,J$262)/1000,I275),0)</f>
        <v>0</v>
      </c>
    </row>
    <row r="276" spans="1:10" ht="12.75">
      <c r="A276" s="47" t="s">
        <v>523</v>
      </c>
      <c r="D276" s="102"/>
      <c r="E276" s="58"/>
      <c r="F276" s="58">
        <f>SUM(F$271,E$276)</f>
        <v>0</v>
      </c>
      <c r="G276" s="58">
        <f>SUM(G$271,F$276)</f>
        <v>0</v>
      </c>
      <c r="H276" s="58">
        <f>SUM(H$271,G$276)</f>
        <v>0</v>
      </c>
      <c r="I276" s="58">
        <f>SUM(I$271,H$276)</f>
        <v>0</v>
      </c>
      <c r="J276" s="58">
        <f>SUM(J$271,I$276)</f>
        <v>0</v>
      </c>
    </row>
    <row r="277" spans="1:10" ht="12.75">
      <c r="A277" s="281" t="s">
        <v>524</v>
      </c>
      <c r="D277" s="102"/>
      <c r="E277" s="64"/>
      <c r="F277" s="64">
        <f>SUM(F$273,F$274)-SUM(F$275,F$276)</f>
        <v>0</v>
      </c>
      <c r="G277" s="64">
        <f>SUM(G$273,G$274)-SUM(G$275,G$276)</f>
        <v>0</v>
      </c>
      <c r="H277" s="64">
        <f>SUM(H$273,H$274)-SUM(H$275,H$276)</f>
        <v>0</v>
      </c>
      <c r="I277" s="64">
        <f>SUM(I$273,I$274)-SUM(I$275,I$276)</f>
        <v>0</v>
      </c>
      <c r="J277" s="64">
        <f>SUM(J$273,J$274)-SUM(J$275,J$276)</f>
        <v>0</v>
      </c>
    </row>
    <row r="278" spans="1:10" ht="13.5">
      <c r="A278" s="282"/>
      <c r="D278" s="102"/>
      <c r="E278" s="170"/>
      <c r="F278" s="170"/>
      <c r="G278" s="170"/>
      <c r="H278" s="170"/>
      <c r="I278" s="170"/>
      <c r="J278" s="170"/>
    </row>
    <row r="279" spans="1:10" ht="12.75">
      <c r="A279" s="47" t="s">
        <v>525</v>
      </c>
      <c r="D279" s="102"/>
      <c r="E279" s="58"/>
      <c r="F279" s="58">
        <f ca="1">IF($F$1="Yes",SUM(SUM(Data!E$131:E$138)*OFFSET(ReadyReckoner!$A$47,0,F$262),Data!E$105*OFFSET(ReadyReckoner!$A$48,0,F$262),AVERAGE(E$141,F141)*OFFSET(ReadyReckoner!$A$53,0,F$262)/100,SUM(Data!E$107,Data!E$109)*OFFSET(ReadyReckoner!$A$50,0,F$262)),0)</f>
        <v>0</v>
      </c>
      <c r="G279" s="58">
        <f ca="1">IF($F$1="Yes",SUM(SUM(Data!F$131:F$138)*OFFSET(ReadyReckoner!$A$47,0,G$262),Data!F$105*OFFSET(ReadyReckoner!$A$48,0,G$262),AVERAGE(F$141,G141)*OFFSET(ReadyReckoner!$A$53,0,G$262)/100,SUM(Data!F$107,Data!F$109)*OFFSET(ReadyReckoner!$A$50,0,G$262)),0)</f>
        <v>0</v>
      </c>
      <c r="H279" s="58">
        <f ca="1">IF($F$1="Yes",SUM(SUM(Data!G$131:G$138)*OFFSET(ReadyReckoner!$A$47,0,H$262),Data!G$105*OFFSET(ReadyReckoner!$A$48,0,H$262),AVERAGE(G$141,H141)*OFFSET(ReadyReckoner!$A$53,0,H$262)/100,SUM(Data!G$107,Data!G$109)*OFFSET(ReadyReckoner!$A$50,0,H$262)),0)</f>
        <v>0</v>
      </c>
      <c r="I279" s="58">
        <f ca="1">IF($F$1="Yes",SUM(SUM(Data!H$131:H$138)*OFFSET(ReadyReckoner!$A$47,0,I$262),Data!H$105*OFFSET(ReadyReckoner!$A$48,0,I$262),AVERAGE(H$141,I141)*OFFSET(ReadyReckoner!$A$53,0,I$262)/100,SUM(Data!H$107,Data!H$109)*OFFSET(ReadyReckoner!$A$50,0,I$262)),0)</f>
        <v>0</v>
      </c>
      <c r="J279" s="58">
        <f ca="1">IF($F$1="Yes",SUM(SUM(Data!I$131:I$138)*OFFSET(ReadyReckoner!$A$47,0,J$262),Data!I$105*OFFSET(ReadyReckoner!$A$48,0,J$262),AVERAGE(I$141,J141)*OFFSET(ReadyReckoner!$A$53,0,J$262)/100,SUM(Data!I$107,Data!I$109)*OFFSET(ReadyReckoner!$A$50,0,J$262)),0)</f>
        <v>0</v>
      </c>
    </row>
    <row r="280" spans="1:10" ht="12.75">
      <c r="A280" s="47" t="s">
        <v>545</v>
      </c>
      <c r="D280" s="102"/>
      <c r="E280" s="58"/>
      <c r="F280" s="58">
        <f ca="1">IF($F$1="Yes",SUM(SUM(Data!E$143,Data!E$140:E$141,Data!E$144:E$145)*(PRODUCT(OFFSET(ReadyReckoner!$A$52,0,2,1,F$262-1))-1),Data!E$143*OFFSET(ReadyReckoner!$A$49,0,F$262),SUM(Data!D$41,Data!D$42,Data!D$43:D$50)*OFFSET(ReadyReckoner!$A$54,0,F$262)),0)</f>
        <v>0</v>
      </c>
      <c r="G280" s="58">
        <f ca="1">IF($F$1="Yes",SUM(SUM(Data!F$143,Data!F$140:F$141,Data!F$144:F$145)*(PRODUCT(OFFSET(ReadyReckoner!$A$52,0,2,1,G$262-1))-1),Data!F$143*OFFSET(ReadyReckoner!$A$49,0,G$262),SUM(Data!E$41,Data!E$42,Data!E$43:E$50)*OFFSET(ReadyReckoner!$A$54,0,G$262)),0)</f>
        <v>0</v>
      </c>
      <c r="H280" s="58">
        <f ca="1">IF($F$1="Yes",SUM(SUM(Data!G$143,Data!G$140:G$141,Data!G$144:G$145)*(PRODUCT(OFFSET(ReadyReckoner!$A$52,0,2,1,H$262-1))-1),Data!G$143*OFFSET(ReadyReckoner!$A$49,0,H$262),SUM(Data!F$41,Data!F$42,Data!F$43:F$50)*OFFSET(ReadyReckoner!$A$54,0,H$262)),0)</f>
        <v>0</v>
      </c>
      <c r="I280" s="58">
        <f ca="1">IF($F$1="Yes",SUM(SUM(Data!H$143,Data!H$140:H$141,Data!H$144:H$145)*(PRODUCT(OFFSET(ReadyReckoner!$A$52,0,2,1,I$262-1))-1),Data!H$143*OFFSET(ReadyReckoner!$A$49,0,I$262),SUM(Data!G$41,Data!G$42,Data!G$43:G$50)*OFFSET(ReadyReckoner!$A$54,0,I$262)),0)</f>
        <v>0</v>
      </c>
      <c r="J280" s="58">
        <f ca="1">IF($F$1="Yes",SUM(SUM(Data!I$143,Data!I$140:I$141,Data!I$144:I$145)*(PRODUCT(OFFSET(ReadyReckoner!$A$52,0,2,1,J$262-1))-1),Data!I$143*OFFSET(ReadyReckoner!$A$49,0,J$262),SUM(Data!H$41,Data!H$42,Data!H$43:H$50)*OFFSET(ReadyReckoner!$A$54,0,J$262)),0)</f>
        <v>0</v>
      </c>
    </row>
    <row r="281" spans="1:10" ht="12.75">
      <c r="A281" s="47" t="s">
        <v>546</v>
      </c>
      <c r="D281" s="102"/>
      <c r="E281" s="58"/>
      <c r="F281" s="58">
        <f ca="1">IF($F$1="Yes",E$218*(SUM($D$280:E$280,F$280/2)-SUM($D$279:E$279,F$279/2))+MMULT(OFFSET(ReadyReckoner!$A$53,0,2,1,5),OFFSET(ReadyReckoner!$A$61,0,F$262,5,1))/1000,0)</f>
        <v>0</v>
      </c>
      <c r="G281" s="58">
        <f ca="1">IF($F$1="Yes",F$218*(SUM($D$280:F$280,G$280/2)-SUM($D$279:F$279,G$279/2))+MMULT(OFFSET(ReadyReckoner!$A$53,0,2,1,5),OFFSET(ReadyReckoner!$A$61,0,G$262,5,1))/1000,0)</f>
        <v>0</v>
      </c>
      <c r="H281" s="58">
        <f ca="1">IF($F$1="Yes",G$218*(SUM($D$280:G$280,H$280/2)-SUM($D$279:G$279,H$279/2))+MMULT(OFFSET(ReadyReckoner!$A$53,0,2,1,5),OFFSET(ReadyReckoner!$A$61,0,H$262,5,1))/1000,0)</f>
        <v>0</v>
      </c>
      <c r="I281" s="58">
        <f ca="1">IF($F$1="Yes",H$218*(SUM($D$280:H$280,I$280/2)-SUM($D$279:H$279,I$279/2))+MMULT(OFFSET(ReadyReckoner!$A$53,0,2,1,5),OFFSET(ReadyReckoner!$A$61,0,I$262,5,1))/1000,0)</f>
        <v>0</v>
      </c>
      <c r="J281" s="58">
        <f ca="1">IF($F$1="Yes",I$218*(SUM($D$280:I$280,J$280/2)-SUM($D$279:I$279,J$279/2))+MMULT(OFFSET(ReadyReckoner!$A$53,0,2,1,5),OFFSET(ReadyReckoner!$A$61,0,J$262,5,1))/1000,0)</f>
        <v>0</v>
      </c>
    </row>
    <row r="282" spans="1:10" ht="12.75">
      <c r="A282" s="281" t="s">
        <v>541</v>
      </c>
      <c r="D282" s="102"/>
      <c r="E282" s="64"/>
      <c r="F282" s="64">
        <f>F$279-SUM(F$280,F$281)</f>
        <v>0</v>
      </c>
      <c r="G282" s="64">
        <f>G$279-SUM(G$280,G$281)</f>
        <v>0</v>
      </c>
      <c r="H282" s="64">
        <f>H$279-SUM(H$280,H$281)</f>
        <v>0</v>
      </c>
      <c r="I282" s="64">
        <f>I$279-SUM(I$280,I$281)</f>
        <v>0</v>
      </c>
      <c r="J282" s="64">
        <f>J$279-SUM(J$280,J$281)</f>
        <v>0</v>
      </c>
    </row>
    <row r="283" spans="1:10" ht="12.75">
      <c r="A283" s="281" t="s">
        <v>547</v>
      </c>
      <c r="D283" s="102"/>
      <c r="E283" s="64"/>
      <c r="F283" s="64">
        <f>-F$282</f>
        <v>0</v>
      </c>
      <c r="G283" s="64">
        <f>-G$282</f>
        <v>0</v>
      </c>
      <c r="H283" s="64">
        <f>-H$282</f>
        <v>0</v>
      </c>
      <c r="I283" s="64">
        <f>-I$282</f>
        <v>0</v>
      </c>
      <c r="J283" s="64">
        <f>-J$282</f>
        <v>0</v>
      </c>
    </row>
    <row r="284" spans="1:10" ht="12.75">
      <c r="A284" s="281" t="s">
        <v>548</v>
      </c>
      <c r="D284" s="102"/>
      <c r="E284" s="64"/>
      <c r="F284" s="64">
        <f>SUM(F$283,E$284)</f>
        <v>0</v>
      </c>
      <c r="G284" s="64">
        <f>SUM(G$283,F$284)</f>
        <v>0</v>
      </c>
      <c r="H284" s="64">
        <f>SUM(H$283,G$284)</f>
        <v>0</v>
      </c>
      <c r="I284" s="64">
        <f>SUM(I$283,H$284)</f>
        <v>0</v>
      </c>
      <c r="J284" s="64">
        <f>SUM(J$283,I$284)</f>
        <v>0</v>
      </c>
    </row>
    <row r="285" spans="1:10" ht="13.5">
      <c r="A285" s="282"/>
      <c r="D285" s="102"/>
      <c r="J285" s="171"/>
    </row>
    <row r="286" spans="1:10" ht="12.75">
      <c r="A286" s="281" t="s">
        <v>542</v>
      </c>
      <c r="D286" s="102"/>
      <c r="E286" s="64"/>
      <c r="F286" s="64">
        <f>SUM(F$269,F$282)</f>
        <v>0</v>
      </c>
      <c r="G286" s="64">
        <f>SUM(G$269,G$282)</f>
        <v>0</v>
      </c>
      <c r="H286" s="64">
        <f>SUM(H$269,H$282)</f>
        <v>0</v>
      </c>
      <c r="I286" s="64">
        <f>SUM(I$269,I$282)</f>
        <v>0</v>
      </c>
      <c r="J286" s="64">
        <f>SUM(J$269,J$282)</f>
        <v>0</v>
      </c>
    </row>
    <row r="287" spans="1:10" ht="13.5">
      <c r="A287" s="282" t="s">
        <v>549</v>
      </c>
      <c r="D287" s="102"/>
      <c r="E287" s="178"/>
      <c r="F287" s="178" t="str">
        <f>IF(ROUND(Data!E$37-(F$16-F$286),3)=0,"OK","ERROR")</f>
        <v>OK</v>
      </c>
      <c r="G287" s="178" t="str">
        <f>IF(ROUND(Data!F$37-(G$16-G$286),3)=0,"OK","ERROR")</f>
        <v>OK</v>
      </c>
      <c r="H287" s="178" t="str">
        <f>IF(ROUND(Data!G$37-(H$16-H$286),3)=0,"OK","ERROR")</f>
        <v>OK</v>
      </c>
      <c r="I287" s="178" t="str">
        <f>IF(ROUND(Data!H$37-(I$16-I$286),3)=0,"OK","ERROR")</f>
        <v>OK</v>
      </c>
      <c r="J287" s="178" t="str">
        <f>IF(ROUND(Data!I$37-(J$16-J$286),3)=0,"OK","ERROR")</f>
        <v>OK</v>
      </c>
    </row>
    <row r="288" spans="1:10" ht="13.5">
      <c r="A288" s="282"/>
      <c r="D288" s="102"/>
      <c r="E288" s="170"/>
      <c r="F288" s="170"/>
      <c r="G288" s="170"/>
      <c r="H288" s="170"/>
      <c r="I288" s="170"/>
      <c r="J288" s="170"/>
    </row>
    <row r="289" spans="1:10" ht="12.75">
      <c r="A289" s="281" t="s">
        <v>550</v>
      </c>
      <c r="D289" s="102"/>
      <c r="E289" s="64"/>
      <c r="F289" s="64">
        <f>SUM(F$276,F$284)</f>
        <v>0</v>
      </c>
      <c r="G289" s="64">
        <f>SUM(G$276,G$284)</f>
        <v>0</v>
      </c>
      <c r="H289" s="64">
        <f>SUM(H$276,H$284)</f>
        <v>0</v>
      </c>
      <c r="I289" s="64">
        <f>SUM(I$276,I$284)</f>
        <v>0</v>
      </c>
      <c r="J289" s="64">
        <f>SUM(J$276,J$284)</f>
        <v>0</v>
      </c>
    </row>
    <row r="290" spans="1:10" ht="13.5">
      <c r="A290" s="282" t="s">
        <v>549</v>
      </c>
      <c r="D290" s="102"/>
      <c r="E290" s="294"/>
      <c r="F290" s="294" t="str">
        <f>IF(ROUND(Data!E$95-(F$30-F$289),3)=0,"OK","ERROR")</f>
        <v>OK</v>
      </c>
      <c r="G290" s="294" t="str">
        <f>IF(ROUND(Data!F$95-(G$30-G$289),3)=0,"OK","ERROR")</f>
        <v>OK</v>
      </c>
      <c r="H290" s="294" t="str">
        <f>IF(ROUND(Data!G$95-(H$30-H$289),3)=0,"OK","ERROR")</f>
        <v>OK</v>
      </c>
      <c r="I290" s="294" t="str">
        <f>IF(ROUND(Data!H$95-(I$30-I$289),3)=0,"OK","ERROR")</f>
        <v>OK</v>
      </c>
      <c r="J290" s="294" t="str">
        <f>IF(ROUND(Data!I$95-(J$30-J$289),3)=0,"OK","ERROR")</f>
        <v>OK</v>
      </c>
    </row>
    <row r="291" spans="4:10" ht="12.75">
      <c r="D291" s="102"/>
      <c r="E291" s="170"/>
      <c r="F291" s="170"/>
      <c r="G291" s="170"/>
      <c r="H291" s="170"/>
      <c r="I291" s="170"/>
      <c r="J291" s="170"/>
    </row>
    <row r="292" spans="1:10" ht="12.75">
      <c r="A292" s="281" t="s">
        <v>551</v>
      </c>
      <c r="D292" s="102"/>
      <c r="E292" s="64"/>
      <c r="F292" s="64">
        <f>SUM(F$277,-F$284)</f>
        <v>0</v>
      </c>
      <c r="G292" s="64">
        <f>SUM(G$277,-G$284)</f>
        <v>0</v>
      </c>
      <c r="H292" s="64">
        <f>SUM(H$277,-H$284)</f>
        <v>0</v>
      </c>
      <c r="I292" s="64">
        <f>SUM(I$277,-I$284)</f>
        <v>0</v>
      </c>
      <c r="J292" s="64">
        <f>SUM(J$277,-J$284)</f>
        <v>0</v>
      </c>
    </row>
    <row r="293" spans="1:10" ht="13.5">
      <c r="A293" s="282" t="s">
        <v>549</v>
      </c>
      <c r="D293" s="102"/>
      <c r="E293" s="178"/>
      <c r="F293" s="178" t="str">
        <f>IF(ROUND(Data!E$83-(F$29-F$292),3)=0,"OK","ERROR")</f>
        <v>OK</v>
      </c>
      <c r="G293" s="178" t="str">
        <f>IF(ROUND(Data!F$83-(G$29-G$292),3)=0,"OK","ERROR")</f>
        <v>OK</v>
      </c>
      <c r="H293" s="178" t="str">
        <f>IF(ROUND(Data!G$83-(H$29-H$292),3)=0,"OK","ERROR")</f>
        <v>OK</v>
      </c>
      <c r="I293" s="178" t="str">
        <f>IF(ROUND(Data!H$83-(I$29-I$292),3)=0,"OK","ERROR")</f>
        <v>OK</v>
      </c>
      <c r="J293" s="178" t="str">
        <f>IF(ROUND(Data!I$83-(J$29-J$292),3)=0,"OK","ERROR")</f>
        <v>OK</v>
      </c>
    </row>
    <row r="294" ht="12.75">
      <c r="D294" s="102"/>
    </row>
    <row r="295" ht="12.75">
      <c r="D295" s="102"/>
    </row>
  </sheetData>
  <sheetProtection/>
  <printOptions/>
  <pageMargins left="0.75" right="0.75" top="1" bottom="1" header="0.5" footer="0.5"/>
  <pageSetup horizontalDpi="600" verticalDpi="600" orientation="landscape" paperSize="9" r:id="rId3"/>
  <ignoredErrors>
    <ignoredError sqref="K163:T163" formula="1"/>
    <ignoredError sqref="J3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File - Long Term Foscal Model - The Treasury</dc:title>
  <dc:subject/>
  <dc:creator>New Zealand Treasury</dc:creator>
  <cp:keywords/>
  <dc:description/>
  <cp:lastModifiedBy>hamiltong</cp:lastModifiedBy>
  <cp:lastPrinted>2008-09-23T00:55:45Z</cp:lastPrinted>
  <dcterms:created xsi:type="dcterms:W3CDTF">2001-06-18T01:52:26Z</dcterms:created>
  <dcterms:modified xsi:type="dcterms:W3CDTF">2008-10-06T21:49:53Z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